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MARCIO\Projetos\BlueLeads\Projetos\Nibo\"/>
    </mc:Choice>
  </mc:AlternateContent>
  <bookViews>
    <workbookView xWindow="0" yWindow="0" windowWidth="20490" windowHeight="7755" tabRatio="807"/>
  </bookViews>
  <sheets>
    <sheet name="Instruções de uso" sheetId="4" r:id="rId1"/>
    <sheet name="Dados - Premissas" sheetId="6" r:id="rId2"/>
    <sheet name="FDC - Empresa" sheetId="3" r:id="rId3"/>
    <sheet name="FDC - Carteira" sheetId="2" r:id="rId4"/>
    <sheet name="Multiplo Empresa - Carteira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23Graph_A" hidden="1">'[1]Hoja 2'!#REF!</definedName>
    <definedName name="__123Graph_AANIDRO" hidden="1">[2]PRODUCAO!$C$4:$F$4</definedName>
    <definedName name="__123Graph_AGAS" hidden="1">'[1]Hoja 2'!#REF!</definedName>
    <definedName name="__123Graph_AHIALCOOL" hidden="1">[2]PRODUCAO!$C$8:$F$8</definedName>
    <definedName name="__123Graph_AHIDRATADO" hidden="1">[2]PRODUCAO!$C$6:$F$6</definedName>
    <definedName name="__123Graph_AINFLACION" hidden="1">'[1]Hoja 2'!#REF!</definedName>
    <definedName name="__123Graph_ASACAS" hidden="1">[2]PRODUCAO!$C$11:$F$11</definedName>
    <definedName name="__123Graph_AVENTA" hidden="1">'[1]Hoja 2'!#REF!</definedName>
    <definedName name="__123Graph_B" hidden="1">'[1]Hoja 2'!#REF!</definedName>
    <definedName name="__123Graph_BGAS" hidden="1">'[1]Hoja 2'!#REF!</definedName>
    <definedName name="__123Graph_BINFLACION" hidden="1">'[1]Hoja 2'!#REF!</definedName>
    <definedName name="__123Graph_BVENTA" hidden="1">'[1]Hoja 2'!#REF!</definedName>
    <definedName name="__123Graph_C" hidden="1">'[1]Hoja 2'!#REF!</definedName>
    <definedName name="__123Graph_CGAS" hidden="1">'[1]Hoja 2'!#REF!</definedName>
    <definedName name="__123Graph_CINFLACION" hidden="1">'[1]Hoja 2'!#REF!</definedName>
    <definedName name="__123Graph_CVENTA" hidden="1">'[1]Hoja 2'!#REF!</definedName>
    <definedName name="__123Graph_D" hidden="1">'[1]Hoja 2'!#REF!</definedName>
    <definedName name="__123Graph_DGAS" hidden="1">'[1]Hoja 2'!#REF!</definedName>
    <definedName name="__123Graph_DINFLACION" hidden="1">'[1]Hoja 2'!#REF!</definedName>
    <definedName name="__123Graph_DVENTA" hidden="1">'[1]Hoja 2'!#REF!</definedName>
    <definedName name="__123Graph_E" hidden="1">'[1]Hoja 2'!#REF!</definedName>
    <definedName name="__123Graph_EGAS" hidden="1">'[1]Hoja 2'!#REF!</definedName>
    <definedName name="__123Graph_EVENTA" hidden="1">'[1]Hoja 2'!#REF!</definedName>
    <definedName name="__123Graph_F" hidden="1">'[3]Cliente - Resultado'!#REF!</definedName>
    <definedName name="__123Graph_LBL_A" hidden="1">'[1]Hoja 2'!#REF!</definedName>
    <definedName name="__123Graph_X" hidden="1">'[1]Hoja 2'!#REF!</definedName>
    <definedName name="__123Graph_XANIDRO" hidden="1">[2]PRODUCAO!$C$3:$F$3</definedName>
    <definedName name="__123Graph_XGAS" hidden="1">'[1]Hoja 2'!#REF!</definedName>
    <definedName name="__123Graph_XHIALCOOL" hidden="1">[2]PRODUCAO!$C$3:$F$3</definedName>
    <definedName name="__123Graph_XHIDRATADO" hidden="1">[2]PRODUCAO!$C$3:$F$3</definedName>
    <definedName name="__123Graph_XINFLACION" hidden="1">'[1]Hoja 2'!#REF!</definedName>
    <definedName name="__123Graph_XSACAS" hidden="1">[2]PRODUCAO!$C$3:$F$3</definedName>
    <definedName name="__123Graph_XVENTA" hidden="1">'[1]Hoja 2'!#REF!</definedName>
    <definedName name="__DRE0700" localSheetId="2" hidden="1">{"'PXR_6500'!$A$1:$I$124"}</definedName>
    <definedName name="__DRE0700" hidden="1">{"'PXR_6500'!$A$1:$I$124"}</definedName>
    <definedName name="__DRE07001" localSheetId="2" hidden="1">{"'PXR_6500'!$A$1:$I$124"}</definedName>
    <definedName name="__DRE07001" hidden="1">{"'PXR_6500'!$A$1:$I$124"}</definedName>
    <definedName name="__FDS_HYPERLINK_TOGGLE_STATE__" hidden="1">"ON"</definedName>
    <definedName name="_3__123Graph_BCHART_5" hidden="1">[4]MEX95IB!#REF!</definedName>
    <definedName name="_ABN1" localSheetId="2" hidden="1">{"'PXR_6500'!$A$1:$I$124"}</definedName>
    <definedName name="_ABN1" hidden="1">{"'PXR_6500'!$A$1:$I$124"}</definedName>
    <definedName name="_AS1" localSheetId="2" hidden="1">{"'TG'!$A$1:$L$37"}</definedName>
    <definedName name="_AS1" hidden="1">{"'TG'!$A$1:$L$37"}</definedName>
    <definedName name="_DDD1" localSheetId="2" hidden="1">{"'PXR_6500'!$A$1:$I$124"}</definedName>
    <definedName name="_DDD1" hidden="1">{"'PXR_6500'!$A$1:$I$124"}</definedName>
    <definedName name="_DRE0700" localSheetId="2" hidden="1">{"'PXR_6500'!$A$1:$I$124"}</definedName>
    <definedName name="_DRE0700" hidden="1">{"'PXR_6500'!$A$1:$I$124"}</definedName>
    <definedName name="_DRE07001" localSheetId="2" hidden="1">{"'PXR_6500'!$A$1:$I$124"}</definedName>
    <definedName name="_DRE07001" hidden="1">{"'PXR_6500'!$A$1:$I$124"}</definedName>
    <definedName name="_EEE1" localSheetId="2" hidden="1">{"'PXR_6500'!$A$1:$I$124"}</definedName>
    <definedName name="_EEE1" hidden="1">{"'PXR_6500'!$A$1:$I$124"}</definedName>
    <definedName name="_Fill" hidden="1">#REF!</definedName>
    <definedName name="_Key1" hidden="1">[5]Previsão!#REF!</definedName>
    <definedName name="_Order2" hidden="1">0</definedName>
    <definedName name="_qqq1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_qqq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_Sort" hidden="1">[5]Previsão!#REF!</definedName>
    <definedName name="_Table1_In1" hidden="1">#REF!</definedName>
    <definedName name="_Table1_Out" hidden="1">#REF!</definedName>
    <definedName name="A" hidden="1">'[6]S&amp;P'!#REF!</definedName>
    <definedName name="abcdef" localSheetId="2" hidden="1">{"'PXR_6500'!$A$1:$I$124"}</definedName>
    <definedName name="abcdef" hidden="1">{"'PXR_6500'!$A$1:$I$124"}</definedName>
    <definedName name="abcdef1" localSheetId="2" hidden="1">{"'PXR_6500'!$A$1:$I$124"}</definedName>
    <definedName name="abcdef1" hidden="1">{"'PXR_6500'!$A$1:$I$124"}</definedName>
    <definedName name="ABN" localSheetId="2" hidden="1">{"'PXR_6500'!$A$1:$I$124"}</definedName>
    <definedName name="ABN" hidden="1">{"'PXR_6500'!$A$1:$I$124"}</definedName>
    <definedName name="AS" localSheetId="2" hidden="1">{"'TG'!$A$1:$L$37"}</definedName>
    <definedName name="AS" hidden="1">{"'TG'!$A$1:$L$37"}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LPH1" hidden="1">#REF!</definedName>
    <definedName name="BLPH1a" hidden="1">#REF!</definedName>
    <definedName name="BLPH2" hidden="1">#REF!</definedName>
    <definedName name="BLPH2a" hidden="1">#REF!</definedName>
    <definedName name="BLPH3" hidden="1">#REF!</definedName>
    <definedName name="BLPH4" hidden="1">#REF!</definedName>
    <definedName name="BLPH5" hidden="1">#REF!</definedName>
    <definedName name="DDD" localSheetId="2" hidden="1">{"'PXR_6500'!$A$1:$I$124"}</definedName>
    <definedName name="DDD" hidden="1">{"'PXR_6500'!$A$1:$I$124"}</definedName>
    <definedName name="ECNOFIBRAS" localSheetId="2" hidden="1">{"'PXR_6500'!$A$1:$I$124"}</definedName>
    <definedName name="ECNOFIBRAS" hidden="1">{"'PXR_6500'!$A$1:$I$124"}</definedName>
    <definedName name="ECNOFIBRAS1" localSheetId="2" hidden="1">{"'PXR_6500'!$A$1:$I$124"}</definedName>
    <definedName name="ECNOFIBRAS1" hidden="1">{"'PXR_6500'!$A$1:$I$124"}</definedName>
    <definedName name="ECNOFIBRAS2" localSheetId="2" hidden="1">{"'PXR_6500'!$A$1:$I$124"}</definedName>
    <definedName name="ECNOFIBRAS2" hidden="1">{"'PXR_6500'!$A$1:$I$124"}</definedName>
    <definedName name="ECNOFIBRAS3" localSheetId="2" hidden="1">{"'PXR_6500'!$A$1:$I$124"}</definedName>
    <definedName name="ECNOFIBRAS3" hidden="1">{"'PXR_6500'!$A$1:$I$124"}</definedName>
    <definedName name="EEE" localSheetId="2" hidden="1">{"'PXR_6500'!$A$1:$I$124"}</definedName>
    <definedName name="EEE" hidden="1">{"'PXR_6500'!$A$1:$I$124"}</definedName>
    <definedName name="HTML" localSheetId="2" hidden="1">{"'PXR_6500'!$A$1:$I$124"}</definedName>
    <definedName name="HTML" hidden="1">{"'PXR_6500'!$A$1:$I$124"}</definedName>
    <definedName name="HTML_CodePage" hidden="1">1252</definedName>
    <definedName name="HTML_Control" localSheetId="2" hidden="1">{"'TG'!$A$1:$L$37"}</definedName>
    <definedName name="HTML_Control" hidden="1">{"'TG'!$A$1:$L$37"}</definedName>
    <definedName name="HTML_Control1" localSheetId="2" hidden="1">{"'TG'!$A$1:$L$37"}</definedName>
    <definedName name="HTML_Control1" hidden="1">{"'TG'!$A$1:$L$37"}</definedName>
    <definedName name="HTML_Description" hidden="1">""</definedName>
    <definedName name="HTML_Email" hidden="1">""</definedName>
    <definedName name="HTML_Header" hidden="1">""</definedName>
    <definedName name="HTML_LastUpdate" hidden="1">"16/06/98"</definedName>
    <definedName name="HTML_LineAfter" hidden="1">FALSE</definedName>
    <definedName name="HTML_LineBefore" hidden="1">FALSE</definedName>
    <definedName name="HTML_Name" hidden="1">"Setor de Custos"</definedName>
    <definedName name="HTML_OBDlg2" hidden="1">TRUE</definedName>
    <definedName name="HTML_OBDlg4" hidden="1">TRUE</definedName>
    <definedName name="HTML_OS" hidden="1">0</definedName>
    <definedName name="HTML_PathFile" hidden="1">"D:\FIX\Mai98\PXR6500.htm"</definedName>
    <definedName name="HTML_Title" hidden="1">""</definedName>
    <definedName name="HTML1" localSheetId="2" hidden="1">{"'PXR_6500'!$A$1:$I$124"}</definedName>
    <definedName name="HTML1" hidden="1">{"'PXR_6500'!$A$1:$I$124"}</definedName>
    <definedName name="metalur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1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1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NEWWW" localSheetId="2" hidden="1">{"'PXR_6500'!$A$1:$I$124"}</definedName>
    <definedName name="NEWWW" hidden="1">{"'PXR_6500'!$A$1:$I$124"}</definedName>
    <definedName name="NEWWW1" localSheetId="2" hidden="1">{"'PXR_6500'!$A$1:$I$124"}</definedName>
    <definedName name="NEWWW1" hidden="1">{"'PXR_6500'!$A$1:$I$124"}</definedName>
    <definedName name="novo" hidden="1">[4]MEX95IB!#REF!</definedName>
    <definedName name="OUTRO" localSheetId="2" hidden="1">{"'PXR_6500'!$A$1:$I$124"}</definedName>
    <definedName name="OUTRO" hidden="1">{"'PXR_6500'!$A$1:$I$124"}</definedName>
    <definedName name="OUTRO1" localSheetId="2" hidden="1">{"'PXR_6500'!$A$1:$I$124"}</definedName>
    <definedName name="OUTRO1" hidden="1">{"'PXR_6500'!$A$1:$I$124"}</definedName>
    <definedName name="pppp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1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11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1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remissas" localSheetId="2" hidden="1">{"summary1",#N/A,TRUE,"Comps";"summary2",#N/A,TRUE,"Comps";"summary3",#N/A,TRUE,"Comps"}</definedName>
    <definedName name="Premissas" hidden="1">{"summary1",#N/A,TRUE,"Comps";"summary2",#N/A,TRUE,"Comps";"summary3",#N/A,TRUE,"Comps"}</definedName>
    <definedName name="Premissas1" localSheetId="2" hidden="1">{"summary1",#N/A,TRUE,"Comps";"summary2",#N/A,TRUE,"Comps";"summary3",#N/A,TRUE,"Comps"}</definedName>
    <definedName name="Premissas1" hidden="1">{"summary1",#N/A,TRUE,"Comps";"summary2",#N/A,TRUE,"Comps";"summary3",#N/A,TRUE,"Comps"}</definedName>
    <definedName name="qqq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1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tios_2" localSheetId="2" hidden="1">{"'TG'!$A$1:$L$37"}</definedName>
    <definedName name="Ratios_2" hidden="1">{"'TG'!$A$1:$L$37"}</definedName>
    <definedName name="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SAPBEXrevision" hidden="1">2</definedName>
    <definedName name="SAPBEXsysID" hidden="1">"BWP"</definedName>
    <definedName name="SAPBEXwbID" hidden="1">"3P006HKSUVFMB8HPKHFT25QGT"</definedName>
    <definedName name="sencount" hidden="1">1</definedName>
    <definedName name="TECNOFIBRAS" localSheetId="2" hidden="1">{"'PXR_6500'!$A$1:$I$124"}</definedName>
    <definedName name="TECNOFIBRAS" hidden="1">{"'PXR_6500'!$A$1:$I$124"}</definedName>
    <definedName name="TECNOFIBRAS2" localSheetId="2" hidden="1">{"'PXR_6500'!$A$1:$I$124"}</definedName>
    <definedName name="TECNOFIBRAS2" hidden="1">{"'PXR_6500'!$A$1:$I$124"}</definedName>
    <definedName name="test" localSheetId="2" hidden="1">{"'PXR_6500'!$A$1:$I$124"}</definedName>
    <definedName name="test" hidden="1">{"'PXR_6500'!$A$1:$I$124"}</definedName>
    <definedName name="wq" localSheetId="2" hidden="1">{"'PXR_6500'!$A$1:$I$124"}</definedName>
    <definedName name="wq" hidden="1">{"'PXR_6500'!$A$1:$I$124"}</definedName>
    <definedName name="wrn.administracion." localSheetId="2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NALISIS._.SENSIBILIDAD." localSheetId="2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Cobafi9." localSheetId="2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forecast." localSheetId="2" hidden="1">{#N/A,#N/A,FALSE,"model"}</definedName>
    <definedName name="wrn.forecast." hidden="1">{#N/A,#N/A,FALSE,"model"}</definedName>
    <definedName name="wrn.forecast2" localSheetId="2" hidden="1">{#N/A,#N/A,FALSE,"model"}</definedName>
    <definedName name="wrn.forecast2" hidden="1">{#N/A,#N/A,FALSE,"model"}</definedName>
    <definedName name="wrn.forecastassumptions." localSheetId="2" hidden="1">{#N/A,#N/A,FALSE,"model"}</definedName>
    <definedName name="wrn.forecastassumptions." hidden="1">{#N/A,#N/A,FALSE,"model"}</definedName>
    <definedName name="wrn.forecastassumptions2" localSheetId="2" hidden="1">{#N/A,#N/A,FALSE,"model"}</definedName>
    <definedName name="wrn.forecastassumptions2" hidden="1">{#N/A,#N/A,FALSE,"model"}</definedName>
    <definedName name="wrn.forecastROIC." localSheetId="2" hidden="1">{#N/A,#N/A,FALSE,"model"}</definedName>
    <definedName name="wrn.forecastROIC." hidden="1">{#N/A,#N/A,FALSE,"model"}</definedName>
    <definedName name="wrn.forecastROIC2" localSheetId="2" hidden="1">{#N/A,#N/A,FALSE,"model"}</definedName>
    <definedName name="wrn.forecastROIC2" hidden="1">{#N/A,#N/A,FALSE,"model"}</definedName>
    <definedName name="wrn.history." localSheetId="2" hidden="1">{#N/A,#N/A,FALSE,"model"}</definedName>
    <definedName name="wrn.history." hidden="1">{#N/A,#N/A,FALSE,"model"}</definedName>
    <definedName name="wrn.history2" localSheetId="2" hidden="1">{#N/A,#N/A,FALSE,"model"}</definedName>
    <definedName name="wrn.history2" hidden="1">{#N/A,#N/A,FALSE,"model"}</definedName>
    <definedName name="wrn.histROIC." localSheetId="2" hidden="1">{#N/A,#N/A,FALSE,"model"}</definedName>
    <definedName name="wrn.histROIC." hidden="1">{#N/A,#N/A,FALSE,"model"}</definedName>
    <definedName name="wrn.histROIC2" localSheetId="2" hidden="1">{#N/A,#N/A,FALSE,"model"}</definedName>
    <definedName name="wrn.histROIC2" hidden="1">{#N/A,#N/A,FALSE,"model"}</definedName>
    <definedName name="wrn.Informe._.Mensual." localSheetId="2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2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2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2" hidden="1">{"inputs raw data",#N/A,TRUE,"INPUT"}</definedName>
    <definedName name="wrn.print._.raw._.data._.entry." hidden="1">{"inputs raw data",#N/A,TRUE,"INPUT"}</definedName>
    <definedName name="wrn.print._.summary._.sheets." localSheetId="2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TODO." localSheetId="2" hidden="1">{#N/A,#N/A,FALSE,"RESUMEN";#N/A,#N/A,FALSE,"PARQ_C";#N/A,#N/A,FALSE,"PARQ_P";#N/A,#N/A,FALSE,"MIN_S_C";#N/A,#N/A,FALSE,"MIN_S_P";#N/A,#N/A,FALSE,"MIN_E_M_M";#N/A,#N/A,FALSE,"MIN_E_FIJA";#N/A,#N/A,FALSE,"SUPUESTOS"}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TAL." localSheetId="2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localSheetId="2" hidden="1">{#N/A,#N/A,FALSE,"model"}</definedName>
    <definedName name="wrn1.history" hidden="1">{#N/A,#N/A,FALSE,"model"}</definedName>
    <definedName name="wrn3.histroic" localSheetId="2" hidden="1">{#N/A,#N/A,FALSE,"model"}</definedName>
    <definedName name="wrn3.histroic" hidden="1">{#N/A,#N/A,FALSE,"model"}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RefActiveRow" hidden="1">[7]XREF!#REF!</definedName>
    <definedName name="XRefColumnsCount" hidden="1">1</definedName>
    <definedName name="XRefCopy2Row" hidden="1">[7]XREF!#REF!</definedName>
    <definedName name="XRefCopy3Row" hidden="1">[7]XREF!#REF!</definedName>
    <definedName name="XRefCopy4Row" hidden="1">[7]XREF!#REF!</definedName>
    <definedName name="XRefCopyRangeCount" hidden="1">4</definedName>
    <definedName name="XRefPaste1Row" hidden="1">[7]XREF!#REF!</definedName>
    <definedName name="XRefPaste2Row" hidden="1">[7]XREF!#REF!</definedName>
    <definedName name="XRefPaste3Row" hidden="1">[7]XREF!#REF!</definedName>
    <definedName name="XRefPaste4Row" hidden="1">[7]XREF!#REF!</definedName>
    <definedName name="XRefPaste5Row" hidden="1">[7]XREF!#REF!</definedName>
    <definedName name="XRefPaste6Row" hidden="1">[7]XREF!#REF!</definedName>
    <definedName name="XRefPasteRangeCount" hidden="1">6</definedName>
    <definedName name="Z_04B71980_AC4F_11D5_B5B9_006008DFE20A_.wvu.PrintArea" localSheetId="2" hidden="1">'FDC - Empresa'!$B$15:$I$69</definedName>
    <definedName name="Z_04B71980_AC4F_11D5_B5B9_006008DFE20A_.wvu.Rows" localSheetId="2" hidden="1">'FDC - Empresa'!#REF!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3" l="1"/>
  <c r="D23" i="3"/>
  <c r="D26" i="3"/>
  <c r="C27" i="3"/>
  <c r="D27" i="3"/>
  <c r="D28" i="3"/>
  <c r="D30" i="3"/>
  <c r="D16" i="2"/>
  <c r="E18" i="3"/>
  <c r="F18" i="3"/>
  <c r="G18" i="3"/>
  <c r="H18" i="3"/>
  <c r="I18" i="3"/>
  <c r="J18" i="3"/>
  <c r="K18" i="3"/>
  <c r="L18" i="3"/>
  <c r="M18" i="3"/>
  <c r="N18" i="3"/>
  <c r="N23" i="3"/>
  <c r="N26" i="3"/>
  <c r="N27" i="3"/>
  <c r="N28" i="3"/>
  <c r="N30" i="3"/>
  <c r="N33" i="3"/>
  <c r="N34" i="3"/>
  <c r="N35" i="3"/>
  <c r="N36" i="3"/>
  <c r="N37" i="3"/>
  <c r="N38" i="3"/>
  <c r="N32" i="3"/>
  <c r="N40" i="3"/>
  <c r="N41" i="3"/>
  <c r="M23" i="3"/>
  <c r="M26" i="3"/>
  <c r="M27" i="3"/>
  <c r="M28" i="3"/>
  <c r="M30" i="3"/>
  <c r="M33" i="3"/>
  <c r="M34" i="3"/>
  <c r="M35" i="3"/>
  <c r="M36" i="3"/>
  <c r="M37" i="3"/>
  <c r="M38" i="3"/>
  <c r="M32" i="3"/>
  <c r="M40" i="3"/>
  <c r="M41" i="3"/>
  <c r="L23" i="3"/>
  <c r="L26" i="3"/>
  <c r="L27" i="3"/>
  <c r="L28" i="3"/>
  <c r="L30" i="3"/>
  <c r="L33" i="3"/>
  <c r="L34" i="3"/>
  <c r="L35" i="3"/>
  <c r="L36" i="3"/>
  <c r="L37" i="3"/>
  <c r="L38" i="3"/>
  <c r="L32" i="3"/>
  <c r="L40" i="3"/>
  <c r="L41" i="3"/>
  <c r="K23" i="3"/>
  <c r="K26" i="3"/>
  <c r="K27" i="3"/>
  <c r="K28" i="3"/>
  <c r="K30" i="3"/>
  <c r="K33" i="3"/>
  <c r="K34" i="3"/>
  <c r="K35" i="3"/>
  <c r="K36" i="3"/>
  <c r="K37" i="3"/>
  <c r="K38" i="3"/>
  <c r="K32" i="3"/>
  <c r="K40" i="3"/>
  <c r="K41" i="3"/>
  <c r="J23" i="3"/>
  <c r="J26" i="3"/>
  <c r="J27" i="3"/>
  <c r="J28" i="3"/>
  <c r="J30" i="3"/>
  <c r="J33" i="3"/>
  <c r="J34" i="3"/>
  <c r="J35" i="3"/>
  <c r="J36" i="3"/>
  <c r="J37" i="3"/>
  <c r="J38" i="3"/>
  <c r="J32" i="3"/>
  <c r="J40" i="3"/>
  <c r="J41" i="3"/>
  <c r="I23" i="3"/>
  <c r="I26" i="3"/>
  <c r="I27" i="3"/>
  <c r="I28" i="3"/>
  <c r="I30" i="3"/>
  <c r="I33" i="3"/>
  <c r="I34" i="3"/>
  <c r="I35" i="3"/>
  <c r="I36" i="3"/>
  <c r="I37" i="3"/>
  <c r="I38" i="3"/>
  <c r="I32" i="3"/>
  <c r="I40" i="3"/>
  <c r="I41" i="3"/>
  <c r="H23" i="3"/>
  <c r="H26" i="3"/>
  <c r="H27" i="3"/>
  <c r="H28" i="3"/>
  <c r="H30" i="3"/>
  <c r="H33" i="3"/>
  <c r="H34" i="3"/>
  <c r="H35" i="3"/>
  <c r="H36" i="3"/>
  <c r="H37" i="3"/>
  <c r="H38" i="3"/>
  <c r="H32" i="3"/>
  <c r="H40" i="3"/>
  <c r="H41" i="3"/>
  <c r="G23" i="3"/>
  <c r="G26" i="3"/>
  <c r="G27" i="3"/>
  <c r="G28" i="3"/>
  <c r="G30" i="3"/>
  <c r="G33" i="3"/>
  <c r="G34" i="3"/>
  <c r="G35" i="3"/>
  <c r="G36" i="3"/>
  <c r="G37" i="3"/>
  <c r="G38" i="3"/>
  <c r="G32" i="3"/>
  <c r="G40" i="3"/>
  <c r="G41" i="3"/>
  <c r="F23" i="3"/>
  <c r="F26" i="3"/>
  <c r="F27" i="3"/>
  <c r="F28" i="3"/>
  <c r="F30" i="3"/>
  <c r="F33" i="3"/>
  <c r="F34" i="3"/>
  <c r="F35" i="3"/>
  <c r="F36" i="3"/>
  <c r="F37" i="3"/>
  <c r="F38" i="3"/>
  <c r="F32" i="3"/>
  <c r="F40" i="3"/>
  <c r="F41" i="3"/>
  <c r="E23" i="3"/>
  <c r="E26" i="3"/>
  <c r="E27" i="3"/>
  <c r="E28" i="3"/>
  <c r="E30" i="3"/>
  <c r="E33" i="3"/>
  <c r="E34" i="3"/>
  <c r="E35" i="3"/>
  <c r="E36" i="3"/>
  <c r="E37" i="3"/>
  <c r="E38" i="3"/>
  <c r="E32" i="3"/>
  <c r="E40" i="3"/>
  <c r="E41" i="3"/>
  <c r="D33" i="3"/>
  <c r="D34" i="3"/>
  <c r="D35" i="3"/>
  <c r="D36" i="3"/>
  <c r="D37" i="3"/>
  <c r="D38" i="3"/>
  <c r="D32" i="3"/>
  <c r="D40" i="3"/>
  <c r="D41" i="3"/>
  <c r="F12" i="1"/>
  <c r="E16" i="2"/>
  <c r="E21" i="2"/>
  <c r="E23" i="2"/>
  <c r="E25" i="2"/>
  <c r="E30" i="2"/>
  <c r="E32" i="2"/>
  <c r="E34" i="2"/>
  <c r="E38" i="2"/>
  <c r="F16" i="2"/>
  <c r="F21" i="2"/>
  <c r="F23" i="2"/>
  <c r="F25" i="2"/>
  <c r="F30" i="2"/>
  <c r="F32" i="2"/>
  <c r="F34" i="2"/>
  <c r="F38" i="2"/>
  <c r="G16" i="2"/>
  <c r="G21" i="2"/>
  <c r="G23" i="2"/>
  <c r="G25" i="2"/>
  <c r="G30" i="2"/>
  <c r="G32" i="2"/>
  <c r="G34" i="2"/>
  <c r="G38" i="2"/>
  <c r="H16" i="2"/>
  <c r="H21" i="2"/>
  <c r="H23" i="2"/>
  <c r="H25" i="2"/>
  <c r="H30" i="2"/>
  <c r="H32" i="2"/>
  <c r="H34" i="2"/>
  <c r="H38" i="2"/>
  <c r="I16" i="2"/>
  <c r="I21" i="2"/>
  <c r="I23" i="2"/>
  <c r="I25" i="2"/>
  <c r="I30" i="2"/>
  <c r="I32" i="2"/>
  <c r="I34" i="2"/>
  <c r="I38" i="2"/>
  <c r="J16" i="2"/>
  <c r="J21" i="2"/>
  <c r="J23" i="2"/>
  <c r="J25" i="2"/>
  <c r="J30" i="2"/>
  <c r="J32" i="2"/>
  <c r="J34" i="2"/>
  <c r="J38" i="2"/>
  <c r="K16" i="2"/>
  <c r="K21" i="2"/>
  <c r="K23" i="2"/>
  <c r="K25" i="2"/>
  <c r="K30" i="2"/>
  <c r="K32" i="2"/>
  <c r="K34" i="2"/>
  <c r="K38" i="2"/>
  <c r="L16" i="2"/>
  <c r="L21" i="2"/>
  <c r="L23" i="2"/>
  <c r="L25" i="2"/>
  <c r="L30" i="2"/>
  <c r="L32" i="2"/>
  <c r="L34" i="2"/>
  <c r="L38" i="2"/>
  <c r="M16" i="2"/>
  <c r="M21" i="2"/>
  <c r="M23" i="2"/>
  <c r="M25" i="2"/>
  <c r="M30" i="2"/>
  <c r="M32" i="2"/>
  <c r="M34" i="2"/>
  <c r="M38" i="2"/>
  <c r="N16" i="2"/>
  <c r="N21" i="2"/>
  <c r="N23" i="2"/>
  <c r="N25" i="2"/>
  <c r="N30" i="2"/>
  <c r="N32" i="2"/>
  <c r="N34" i="2"/>
  <c r="N38" i="2"/>
  <c r="C41" i="2"/>
  <c r="D23" i="2"/>
  <c r="D21" i="2"/>
  <c r="D21" i="3"/>
  <c r="C26" i="3"/>
  <c r="C28" i="3"/>
  <c r="D43" i="3"/>
  <c r="D45" i="3"/>
  <c r="C13" i="3"/>
  <c r="C48" i="3"/>
  <c r="D48" i="3"/>
  <c r="D50" i="3"/>
  <c r="D51" i="3"/>
  <c r="C32" i="6"/>
  <c r="C72" i="6"/>
  <c r="F14" i="1"/>
  <c r="C11" i="3"/>
  <c r="E19" i="3"/>
  <c r="F19" i="3"/>
  <c r="G19" i="3"/>
  <c r="E21" i="3"/>
  <c r="F21" i="3"/>
  <c r="G21" i="3"/>
  <c r="C12" i="2"/>
  <c r="E18" i="2"/>
  <c r="F18" i="2"/>
  <c r="G18" i="2"/>
  <c r="G19" i="2"/>
  <c r="G26" i="2"/>
  <c r="F11" i="1"/>
  <c r="F13" i="1"/>
  <c r="F15" i="1"/>
  <c r="F16" i="1"/>
  <c r="F17" i="1"/>
  <c r="M23" i="6"/>
  <c r="C62" i="6"/>
  <c r="C14" i="1"/>
  <c r="D19" i="2"/>
  <c r="D25" i="2"/>
  <c r="D26" i="2"/>
  <c r="C12" i="1"/>
  <c r="C11" i="1"/>
  <c r="C13" i="1"/>
  <c r="C15" i="1"/>
  <c r="C16" i="1"/>
  <c r="C17" i="1"/>
  <c r="I23" i="6"/>
  <c r="C12" i="3"/>
  <c r="E56" i="3"/>
  <c r="E57" i="3"/>
  <c r="E43" i="3"/>
  <c r="E45" i="3"/>
  <c r="E48" i="3"/>
  <c r="E58" i="3"/>
  <c r="E80" i="3"/>
  <c r="E79" i="3"/>
  <c r="E75" i="3"/>
  <c r="E74" i="3"/>
  <c r="E84" i="3"/>
  <c r="E59" i="3"/>
  <c r="E61" i="3"/>
  <c r="F56" i="3"/>
  <c r="F57" i="3"/>
  <c r="F43" i="3"/>
  <c r="F45" i="3"/>
  <c r="F48" i="3"/>
  <c r="F58" i="3"/>
  <c r="F80" i="3"/>
  <c r="F79" i="3"/>
  <c r="F75" i="3"/>
  <c r="F74" i="3"/>
  <c r="F84" i="3"/>
  <c r="F59" i="3"/>
  <c r="F61" i="3"/>
  <c r="G56" i="3"/>
  <c r="G57" i="3"/>
  <c r="G43" i="3"/>
  <c r="G45" i="3"/>
  <c r="G48" i="3"/>
  <c r="G58" i="3"/>
  <c r="G80" i="3"/>
  <c r="G79" i="3"/>
  <c r="G75" i="3"/>
  <c r="G74" i="3"/>
  <c r="G84" i="3"/>
  <c r="G59" i="3"/>
  <c r="G61" i="3"/>
  <c r="H19" i="3"/>
  <c r="H21" i="3"/>
  <c r="H56" i="3"/>
  <c r="H57" i="3"/>
  <c r="H43" i="3"/>
  <c r="H45" i="3"/>
  <c r="H48" i="3"/>
  <c r="H58" i="3"/>
  <c r="H80" i="3"/>
  <c r="H79" i="3"/>
  <c r="H75" i="3"/>
  <c r="H74" i="3"/>
  <c r="H84" i="3"/>
  <c r="H59" i="3"/>
  <c r="H61" i="3"/>
  <c r="I19" i="3"/>
  <c r="I21" i="3"/>
  <c r="I56" i="3"/>
  <c r="I57" i="3"/>
  <c r="I43" i="3"/>
  <c r="I45" i="3"/>
  <c r="I48" i="3"/>
  <c r="I58" i="3"/>
  <c r="I80" i="3"/>
  <c r="I79" i="3"/>
  <c r="I75" i="3"/>
  <c r="I74" i="3"/>
  <c r="I84" i="3"/>
  <c r="I59" i="3"/>
  <c r="I61" i="3"/>
  <c r="J19" i="3"/>
  <c r="J21" i="3"/>
  <c r="J56" i="3"/>
  <c r="J57" i="3"/>
  <c r="J43" i="3"/>
  <c r="J45" i="3"/>
  <c r="J48" i="3"/>
  <c r="J58" i="3"/>
  <c r="J80" i="3"/>
  <c r="J79" i="3"/>
  <c r="J75" i="3"/>
  <c r="J74" i="3"/>
  <c r="J84" i="3"/>
  <c r="J59" i="3"/>
  <c r="J61" i="3"/>
  <c r="K19" i="3"/>
  <c r="K21" i="3"/>
  <c r="K56" i="3"/>
  <c r="K57" i="3"/>
  <c r="K43" i="3"/>
  <c r="K45" i="3"/>
  <c r="K48" i="3"/>
  <c r="K58" i="3"/>
  <c r="K80" i="3"/>
  <c r="K79" i="3"/>
  <c r="K75" i="3"/>
  <c r="K74" i="3"/>
  <c r="K84" i="3"/>
  <c r="K59" i="3"/>
  <c r="K61" i="3"/>
  <c r="L19" i="3"/>
  <c r="L21" i="3"/>
  <c r="L56" i="3"/>
  <c r="L57" i="3"/>
  <c r="L43" i="3"/>
  <c r="L45" i="3"/>
  <c r="L48" i="3"/>
  <c r="L58" i="3"/>
  <c r="L80" i="3"/>
  <c r="L79" i="3"/>
  <c r="L75" i="3"/>
  <c r="L74" i="3"/>
  <c r="L84" i="3"/>
  <c r="L59" i="3"/>
  <c r="L61" i="3"/>
  <c r="M19" i="3"/>
  <c r="M21" i="3"/>
  <c r="M56" i="3"/>
  <c r="M57" i="3"/>
  <c r="M43" i="3"/>
  <c r="M45" i="3"/>
  <c r="M48" i="3"/>
  <c r="M58" i="3"/>
  <c r="M80" i="3"/>
  <c r="M79" i="3"/>
  <c r="M75" i="3"/>
  <c r="M74" i="3"/>
  <c r="M84" i="3"/>
  <c r="M59" i="3"/>
  <c r="M61" i="3"/>
  <c r="N19" i="3"/>
  <c r="N21" i="3"/>
  <c r="N56" i="3"/>
  <c r="N57" i="3"/>
  <c r="N43" i="3"/>
  <c r="N45" i="3"/>
  <c r="N48" i="3"/>
  <c r="N58" i="3"/>
  <c r="N80" i="3"/>
  <c r="N79" i="3"/>
  <c r="N75" i="3"/>
  <c r="N74" i="3"/>
  <c r="N84" i="3"/>
  <c r="N59" i="3"/>
  <c r="N61" i="3"/>
  <c r="C65" i="3"/>
  <c r="P56" i="3"/>
  <c r="P57" i="3"/>
  <c r="P58" i="3"/>
  <c r="P59" i="3"/>
  <c r="P61" i="3"/>
  <c r="C66" i="3"/>
  <c r="C67" i="3"/>
  <c r="C68" i="3"/>
  <c r="C69" i="3"/>
  <c r="I12" i="6"/>
  <c r="C43" i="2"/>
  <c r="K54" i="2"/>
  <c r="L54" i="2"/>
  <c r="M54" i="2"/>
  <c r="N54" i="2"/>
  <c r="J72" i="3"/>
  <c r="K72" i="3"/>
  <c r="L72" i="3"/>
  <c r="M72" i="3"/>
  <c r="N72" i="3"/>
  <c r="J52" i="2"/>
  <c r="K52" i="2"/>
  <c r="L52" i="2"/>
  <c r="M52" i="2"/>
  <c r="N52" i="2"/>
  <c r="C11" i="2"/>
  <c r="G54" i="2"/>
  <c r="F54" i="2"/>
  <c r="I52" i="2"/>
  <c r="C32" i="2"/>
  <c r="H52" i="2"/>
  <c r="G52" i="2"/>
  <c r="F52" i="2"/>
  <c r="D54" i="2"/>
  <c r="E54" i="2"/>
  <c r="H54" i="2"/>
  <c r="D48" i="2"/>
  <c r="B6" i="2"/>
  <c r="E10" i="1"/>
  <c r="B10" i="2"/>
  <c r="B9" i="2"/>
  <c r="B8" i="2"/>
  <c r="I72" i="3"/>
  <c r="H72" i="3"/>
  <c r="G72" i="3"/>
  <c r="F72" i="3"/>
  <c r="E72" i="3"/>
  <c r="I54" i="2"/>
  <c r="E19" i="2"/>
  <c r="E28" i="2"/>
  <c r="D28" i="2"/>
  <c r="E52" i="2"/>
  <c r="J54" i="2"/>
  <c r="D52" i="2"/>
  <c r="D55" i="2"/>
  <c r="E51" i="2"/>
  <c r="E55" i="2"/>
  <c r="E56" i="2"/>
  <c r="F19" i="2"/>
  <c r="D56" i="2"/>
  <c r="F28" i="2"/>
  <c r="H18" i="2"/>
  <c r="H19" i="2"/>
  <c r="E24" i="3"/>
  <c r="F51" i="2"/>
  <c r="F55" i="2"/>
  <c r="G28" i="2"/>
  <c r="F24" i="3"/>
  <c r="F56" i="2"/>
  <c r="G51" i="2"/>
  <c r="G55" i="2"/>
  <c r="E59" i="2"/>
  <c r="E60" i="2"/>
  <c r="H28" i="2"/>
  <c r="I18" i="2"/>
  <c r="J18" i="2"/>
  <c r="J19" i="2"/>
  <c r="I19" i="2"/>
  <c r="I28" i="2"/>
  <c r="G56" i="2"/>
  <c r="H51" i="2"/>
  <c r="H55" i="2"/>
  <c r="E48" i="2"/>
  <c r="G24" i="3"/>
  <c r="F59" i="2"/>
  <c r="D30" i="2"/>
  <c r="D46" i="3"/>
  <c r="K18" i="2"/>
  <c r="K19" i="2"/>
  <c r="J28" i="2"/>
  <c r="D32" i="2"/>
  <c r="D34" i="2"/>
  <c r="D38" i="2"/>
  <c r="G59" i="2"/>
  <c r="H56" i="2"/>
  <c r="I51" i="2"/>
  <c r="I55" i="2"/>
  <c r="J51" i="2"/>
  <c r="J55" i="2"/>
  <c r="H24" i="3"/>
  <c r="E26" i="2"/>
  <c r="F48" i="2"/>
  <c r="I24" i="3"/>
  <c r="J56" i="2"/>
  <c r="K51" i="2"/>
  <c r="K55" i="2"/>
  <c r="L18" i="2"/>
  <c r="L19" i="2"/>
  <c r="K28" i="2"/>
  <c r="I56" i="2"/>
  <c r="F26" i="2"/>
  <c r="H59" i="2"/>
  <c r="G48" i="2"/>
  <c r="E46" i="3"/>
  <c r="F46" i="3"/>
  <c r="I59" i="2"/>
  <c r="J24" i="3"/>
  <c r="L28" i="2"/>
  <c r="L51" i="2"/>
  <c r="L55" i="2"/>
  <c r="K56" i="2"/>
  <c r="M18" i="2"/>
  <c r="E50" i="3"/>
  <c r="E51" i="3"/>
  <c r="F50" i="3"/>
  <c r="F51" i="3"/>
  <c r="H48" i="2"/>
  <c r="J59" i="2"/>
  <c r="K24" i="3"/>
  <c r="M51" i="2"/>
  <c r="M55" i="2"/>
  <c r="L56" i="2"/>
  <c r="N18" i="2"/>
  <c r="N19" i="2"/>
  <c r="M19" i="2"/>
  <c r="H26" i="2"/>
  <c r="I26" i="2"/>
  <c r="G46" i="3"/>
  <c r="I48" i="2"/>
  <c r="H46" i="3"/>
  <c r="I46" i="3"/>
  <c r="J48" i="2"/>
  <c r="K59" i="2"/>
  <c r="L24" i="3"/>
  <c r="N28" i="2"/>
  <c r="M28" i="2"/>
  <c r="M56" i="2"/>
  <c r="N51" i="2"/>
  <c r="N55" i="2"/>
  <c r="N56" i="2"/>
  <c r="I50" i="3"/>
  <c r="I51" i="3"/>
  <c r="G50" i="3"/>
  <c r="G51" i="3"/>
  <c r="H50" i="3"/>
  <c r="H51" i="3"/>
  <c r="M24" i="3"/>
  <c r="L59" i="2"/>
  <c r="N24" i="3"/>
  <c r="J26" i="2"/>
  <c r="K48" i="2"/>
  <c r="C44" i="2"/>
  <c r="I17" i="6"/>
  <c r="K26" i="2"/>
  <c r="J46" i="3"/>
  <c r="M59" i="2"/>
  <c r="N59" i="2"/>
  <c r="L48" i="2"/>
  <c r="L26" i="2"/>
  <c r="M48" i="2"/>
  <c r="J50" i="3"/>
  <c r="J51" i="3"/>
  <c r="K46" i="3"/>
  <c r="N26" i="2"/>
  <c r="K50" i="3"/>
  <c r="K51" i="3"/>
  <c r="N48" i="2"/>
  <c r="L46" i="3"/>
  <c r="N46" i="3"/>
  <c r="L50" i="3"/>
  <c r="L51" i="3"/>
  <c r="M46" i="3"/>
  <c r="M26" i="2"/>
  <c r="M50" i="3"/>
  <c r="M51" i="3"/>
  <c r="N50" i="3"/>
  <c r="N51" i="3"/>
</calcChain>
</file>

<file path=xl/sharedStrings.xml><?xml version="1.0" encoding="utf-8"?>
<sst xmlns="http://schemas.openxmlformats.org/spreadsheetml/2006/main" count="203" uniqueCount="140">
  <si>
    <t>Despesa 1 mês</t>
  </si>
  <si>
    <t>Despesa com pessoal</t>
  </si>
  <si>
    <t>Média do Saldo Inicial e Final</t>
  </si>
  <si>
    <t>Saldo Final</t>
  </si>
  <si>
    <t>(+) Investimentos</t>
  </si>
  <si>
    <t>(-) Depreciação Novos Investimentos</t>
  </si>
  <si>
    <t>(-) Depreciação Imobilizado Existente a V. Mercado</t>
  </si>
  <si>
    <t>Saldo Inicial Imobilizado a valor de Mercado</t>
  </si>
  <si>
    <t>Capital de giro</t>
  </si>
  <si>
    <t>Período</t>
  </si>
  <si>
    <t>% Receita Líquida</t>
  </si>
  <si>
    <t>EBITDA</t>
  </si>
  <si>
    <t>Custos e Despesas</t>
  </si>
  <si>
    <t>Receita Líquida Ajustada</t>
  </si>
  <si>
    <t>Receita Líquida Total</t>
  </si>
  <si>
    <t>Custos e Despesas Operacionais</t>
  </si>
  <si>
    <t>2017</t>
  </si>
  <si>
    <t>2018</t>
  </si>
  <si>
    <t>2019</t>
  </si>
  <si>
    <t>2020</t>
  </si>
  <si>
    <t>2021</t>
  </si>
  <si>
    <t>Receita Operacional líquida</t>
  </si>
  <si>
    <t>Pessoal</t>
  </si>
  <si>
    <t>Aluguéis de Imóveis</t>
  </si>
  <si>
    <t>Materiais de uso, consumo e limpeza</t>
  </si>
  <si>
    <t xml:space="preserve"> Outros 1</t>
  </si>
  <si>
    <t xml:space="preserve"> Outros 2</t>
  </si>
  <si>
    <t xml:space="preserve"> Outros 3</t>
  </si>
  <si>
    <t>Depreciação e Amortização</t>
  </si>
  <si>
    <t>Variação de Capital de Giro</t>
  </si>
  <si>
    <t>Ativo Circulante</t>
  </si>
  <si>
    <t>Contas a receber</t>
  </si>
  <si>
    <t>Passivo Circulante</t>
  </si>
  <si>
    <t>Contas a Pagar</t>
  </si>
  <si>
    <t>Conta (ativo2)</t>
  </si>
  <si>
    <t>Conta (ativo 3)</t>
  </si>
  <si>
    <t>Conta (passivo2)</t>
  </si>
  <si>
    <t>Conta (passivo 3)</t>
  </si>
  <si>
    <t>VPL</t>
  </si>
  <si>
    <t>% Crescimento</t>
  </si>
  <si>
    <t>Projetado</t>
  </si>
  <si>
    <t>Depreciação (Depreciation)</t>
  </si>
  <si>
    <t>Empresa A</t>
  </si>
  <si>
    <t>Empresa B</t>
  </si>
  <si>
    <t>Empresa C</t>
  </si>
  <si>
    <t>Empresa D</t>
  </si>
  <si>
    <t>Empresa E</t>
  </si>
  <si>
    <t>Empresa F</t>
  </si>
  <si>
    <t>Empresa G</t>
  </si>
  <si>
    <t>Média</t>
  </si>
  <si>
    <t>DEMONSTRAÇÃO DE RESULTADO</t>
  </si>
  <si>
    <t>EMPRESA ABC</t>
  </si>
  <si>
    <t>Taxa de crescimento</t>
  </si>
  <si>
    <t>Receita Operacional Bruta</t>
  </si>
  <si>
    <t>n.a.</t>
  </si>
  <si>
    <t>Margem EBITDA</t>
  </si>
  <si>
    <t>R$</t>
  </si>
  <si>
    <t>Quantidade de clientes (unid.)</t>
  </si>
  <si>
    <t>Ticket médio anual (R$/cliente)</t>
  </si>
  <si>
    <t>PIS</t>
  </si>
  <si>
    <t>COFINS</t>
  </si>
  <si>
    <t>ISS</t>
  </si>
  <si>
    <t>Imposto de Renda</t>
  </si>
  <si>
    <t>Regime de tributação: Lucro Real</t>
  </si>
  <si>
    <t>Modelo: em termos reais (não contempla inflação) e debt-free (dívida descontada após o fluxo)</t>
  </si>
  <si>
    <t>Moeda: R$</t>
  </si>
  <si>
    <t>Lucro Antes do Imposto de Renda</t>
  </si>
  <si>
    <t>Lucro Líquido</t>
  </si>
  <si>
    <t>Margem de Lucro</t>
  </si>
  <si>
    <t xml:space="preserve">FLUXO DE CAIXA </t>
  </si>
  <si>
    <t>PERPETUIDADE</t>
  </si>
  <si>
    <t>Crescimento na perpetuidade:</t>
  </si>
  <si>
    <t>Investimento</t>
  </si>
  <si>
    <t>Taxa de desconto (em termos reais a.a.)</t>
  </si>
  <si>
    <t>Valor base da empresa (enterprise value)</t>
  </si>
  <si>
    <t>(+/-) Passivos e contingências</t>
  </si>
  <si>
    <t>(+) Perpetuidade do fluxo de caixa</t>
  </si>
  <si>
    <t>Valor para os acionistas (equity value)</t>
  </si>
  <si>
    <t>RESULTADO</t>
  </si>
  <si>
    <t>SUPORTE</t>
  </si>
  <si>
    <t>Fluxo de Caixa Livre</t>
  </si>
  <si>
    <t>Data-base</t>
  </si>
  <si>
    <t>FLUXO DE CAIXA DA EMPRESA</t>
  </si>
  <si>
    <t>Alíquota de Imposto de Renda</t>
  </si>
  <si>
    <t>Taxa de retenção (final do ano)</t>
  </si>
  <si>
    <t>Taxa de retenção (média)</t>
  </si>
  <si>
    <t>Lucro antes do imposto de renda</t>
  </si>
  <si>
    <t xml:space="preserve">Lucro líquido antes dos ativos contributivos </t>
  </si>
  <si>
    <t>CARTEIRA DE CLIENTES</t>
  </si>
  <si>
    <t>MULTIPERIOD EXCESS EARNINGS (MPEE)</t>
  </si>
  <si>
    <t>Benefício Fiscal da Amortização</t>
  </si>
  <si>
    <t>Fluxo da Carteira de Clientes</t>
  </si>
  <si>
    <t>Valor presente do fluxo de caixa</t>
  </si>
  <si>
    <t>Valor Justo da Carteira de Clientes (fair value)</t>
  </si>
  <si>
    <t>Imobilizado</t>
  </si>
  <si>
    <t>SUPORTE - CAC</t>
  </si>
  <si>
    <t>Workforce contribution</t>
  </si>
  <si>
    <t>EBITDA carteira (%)</t>
  </si>
  <si>
    <t>HISTÓRICO DE TRANSAÇÕES - CARTEIRA</t>
  </si>
  <si>
    <t>EV/EBITDA</t>
  </si>
  <si>
    <t>Valor Carteira/EBITDA</t>
  </si>
  <si>
    <t>Carteira de Clientes</t>
  </si>
  <si>
    <t>Valor da carteira de clientes</t>
  </si>
  <si>
    <t>Múltiplo de EBITDA</t>
  </si>
  <si>
    <t>Receita Líquida Anual</t>
  </si>
  <si>
    <t>( - ) Ajustes</t>
  </si>
  <si>
    <t>Valor líquido da carteira de clientes</t>
  </si>
  <si>
    <t>Valor da empresa p/ sócios (equity value)</t>
  </si>
  <si>
    <t>RECEITA</t>
  </si>
  <si>
    <t>IMPOSTOS</t>
  </si>
  <si>
    <t xml:space="preserve">IR </t>
  </si>
  <si>
    <t>TAXA DE DESCONTO, PERPETUIDADE E DEPRECIAÇÃO</t>
  </si>
  <si>
    <t>Taxa de perda de cliente (churn):</t>
  </si>
  <si>
    <t>Número de clientes atendidos</t>
  </si>
  <si>
    <t>Ticket médio mensal (honorários)</t>
  </si>
  <si>
    <t>Margem de lucro líquido</t>
  </si>
  <si>
    <t>Taxa de crescimento annual</t>
  </si>
  <si>
    <t>CUSTOS E DESPESAS (Como % da Receita)</t>
  </si>
  <si>
    <t>CARTEIRA</t>
  </si>
  <si>
    <t>Taxa de perda annual de clientes (churn):</t>
  </si>
  <si>
    <t>METODOLOGIA 1: FDC DA EMPRESA</t>
  </si>
  <si>
    <t>METODOLOGIA 2: FDC DA CARTEIRA</t>
  </si>
  <si>
    <t>Taxa de retorno esperada pelo comprador</t>
  </si>
  <si>
    <t>Taxa de retorno esperada pelo comprador  (em termos reais a.a.)</t>
  </si>
  <si>
    <t>Ativos contributivos</t>
  </si>
  <si>
    <t>INPUTS DE DADOS</t>
  </si>
  <si>
    <r>
      <t>Instruções:</t>
    </r>
    <r>
      <rPr>
        <sz val="16"/>
        <color rgb="FF1083A1"/>
        <rFont val="Calibri"/>
        <family val="2"/>
        <scheme val="minor"/>
      </rPr>
      <t xml:space="preserve"> Altere as células cinza com os números da sua empresa contábil</t>
    </r>
  </si>
  <si>
    <t>Investimentos em ativos fixos (R$/ano)</t>
  </si>
  <si>
    <t>Depreciação e Amortização (R$/ano)</t>
  </si>
  <si>
    <t>2022</t>
  </si>
  <si>
    <t>2023</t>
  </si>
  <si>
    <t>2024</t>
  </si>
  <si>
    <t>2025</t>
  </si>
  <si>
    <t>2026</t>
  </si>
  <si>
    <t>AVALIAÇÃO POR MÚLTIPLOS</t>
  </si>
  <si>
    <t>EMPRESA</t>
  </si>
  <si>
    <t>AJUSTES</t>
  </si>
  <si>
    <t>METODOLOGIA 3: MÚLTIPLO CARTEIRA E EMPRESA</t>
  </si>
  <si>
    <t>RESULTADOS</t>
  </si>
  <si>
    <t>METODOLOGIA 3: MÚLTIPLO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</si>
</sst>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0.0000"/>
    <numFmt numFmtId="169" formatCode="_(* #,##0.0000_);_(* \(#,##0.0000\);_(* &quot;-&quot;??_);_(@_)"/>
    <numFmt numFmtId="170" formatCode="#,##0;[Red]\(#,##0\)"/>
    <numFmt numFmtId="171" formatCode="_(* #,##0.0_);_(* \(#,##0.0\);_(* &quot;-&quot;??_);_(@_)"/>
    <numFmt numFmtId="172" formatCode="_(* #,##0_);[Red]_(* \(#,##0\);_(* &quot;-&quot;??_);_(@_)"/>
    <numFmt numFmtId="173" formatCode="_-* #,##0.0_-;\-* #,##0.0_-;_-* &quot;-&quot;?_-;_-@_-"/>
    <numFmt numFmtId="174" formatCode="0_)"/>
    <numFmt numFmtId="175" formatCode="#,##0.0;[Red]\(#,##0.0\)"/>
    <numFmt numFmtId="176" formatCode="_(* #,##0.0_);_(* \(#,##0.0\);_(* &quot;-&quot;?_);_(@_)"/>
    <numFmt numFmtId="177" formatCode="_(* #,##0.0000_);_(* \(#,##0.0000\);_(* &quot;-&quot;????_);_(@_)"/>
    <numFmt numFmtId="178" formatCode="_(* #,##0.000_);_(* \(#,##0.000\);_(* &quot;-&quot;??_);_(@_)"/>
    <numFmt numFmtId="179" formatCode="_-* #,##0.0_-;\-* #,##0.0_-;_-* &quot;-&quot;??_-;_-@_-"/>
    <numFmt numFmtId="180" formatCode="_-* #,##0_-;\-* #,##0_-;_-* &quot;-&quot;??_-;_-@_-"/>
    <numFmt numFmtId="181" formatCode="&quot;R$&quot;\ \ #,##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59"/>
      <name val="Calibri"/>
      <family val="2"/>
      <scheme val="minor"/>
    </font>
    <font>
      <sz val="12"/>
      <color indexed="16"/>
      <name val="Calibri"/>
      <family val="2"/>
      <scheme val="minor"/>
    </font>
    <font>
      <b/>
      <sz val="12"/>
      <color indexed="59"/>
      <name val="Calibri"/>
      <family val="2"/>
      <scheme val="minor"/>
    </font>
    <font>
      <sz val="12"/>
      <color indexed="6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10"/>
      <name val="Calibri"/>
      <family val="2"/>
      <scheme val="minor"/>
    </font>
    <font>
      <i/>
      <sz val="12"/>
      <color indexed="16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indexed="16"/>
      <name val="Calibri"/>
      <family val="2"/>
      <scheme val="minor"/>
    </font>
    <font>
      <sz val="11"/>
      <color indexed="59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indexed="59"/>
      <name val="Calibri"/>
      <family val="2"/>
      <scheme val="minor"/>
    </font>
    <font>
      <b/>
      <sz val="16"/>
      <color rgb="FF1083A1"/>
      <name val="Calibri"/>
      <family val="2"/>
      <scheme val="minor"/>
    </font>
    <font>
      <sz val="16"/>
      <color rgb="FF1083A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3A4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17BAE6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59"/>
      </top>
      <bottom/>
      <diagonal/>
    </border>
    <border>
      <left/>
      <right/>
      <top/>
      <bottom style="double">
        <color indexed="5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/>
      <right style="thin">
        <color theme="0" tint="-0.24994659260841701"/>
      </right>
      <top style="double">
        <color indexed="59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double">
        <color indexed="59"/>
      </bottom>
      <diagonal/>
    </border>
    <border>
      <left/>
      <right style="thin">
        <color theme="0" tint="-0.24994659260841701"/>
      </right>
      <top style="double">
        <color auto="1"/>
      </top>
      <bottom style="thin">
        <color theme="0" tint="-0.24994659260841701"/>
      </bottom>
      <diagonal/>
    </border>
    <border>
      <left/>
      <right/>
      <top style="double">
        <color indexed="5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/>
      <right style="thin">
        <color theme="0" tint="-0.24994659260841701"/>
      </right>
      <top/>
      <bottom style="thin">
        <color theme="1"/>
      </bottom>
      <diagonal/>
    </border>
    <border>
      <left/>
      <right style="thin">
        <color theme="0" tint="-0.24994659260841701"/>
      </right>
      <top/>
      <bottom style="double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24994659260841701"/>
      </right>
      <top style="double">
        <color indexed="59"/>
      </top>
      <bottom style="thin">
        <color theme="0" tint="-0.2499465926084170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8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293">
    <xf numFmtId="0" fontId="0" fillId="0" borderId="0" xfId="0"/>
    <xf numFmtId="0" fontId="5" fillId="0" borderId="0" xfId="0" applyFont="1"/>
    <xf numFmtId="0" fontId="6" fillId="0" borderId="0" xfId="3" applyFont="1" applyFill="1" applyBorder="1"/>
    <xf numFmtId="0" fontId="6" fillId="0" borderId="0" xfId="3" applyFont="1"/>
    <xf numFmtId="167" fontId="6" fillId="0" borderId="0" xfId="5" applyNumberFormat="1" applyFont="1"/>
    <xf numFmtId="0" fontId="7" fillId="0" borderId="0" xfId="3" applyFont="1" applyAlignment="1">
      <alignment horizontal="right"/>
    </xf>
    <xf numFmtId="10" fontId="6" fillId="0" borderId="0" xfId="3" applyNumberFormat="1" applyFont="1"/>
    <xf numFmtId="0" fontId="7" fillId="0" borderId="0" xfId="3" applyFont="1" applyBorder="1"/>
    <xf numFmtId="166" fontId="6" fillId="0" borderId="0" xfId="4" applyNumberFormat="1" applyFont="1" applyBorder="1"/>
    <xf numFmtId="166" fontId="7" fillId="0" borderId="0" xfId="4" applyNumberFormat="1" applyFont="1" applyFill="1" applyBorder="1"/>
    <xf numFmtId="0" fontId="6" fillId="0" borderId="0" xfId="3" applyFont="1" applyBorder="1"/>
    <xf numFmtId="9" fontId="6" fillId="0" borderId="0" xfId="5" applyFont="1" applyBorder="1"/>
    <xf numFmtId="9" fontId="6" fillId="0" borderId="0" xfId="5" applyFont="1" applyFill="1" applyBorder="1"/>
    <xf numFmtId="167" fontId="6" fillId="0" borderId="0" xfId="5" applyNumberFormat="1" applyFont="1" applyFill="1" applyBorder="1"/>
    <xf numFmtId="0" fontId="6" fillId="0" borderId="0" xfId="3" applyFont="1" applyFill="1"/>
    <xf numFmtId="166" fontId="6" fillId="0" borderId="0" xfId="4" applyNumberFormat="1" applyFont="1"/>
    <xf numFmtId="0" fontId="7" fillId="0" borderId="0" xfId="3" applyFont="1"/>
    <xf numFmtId="164" fontId="6" fillId="0" borderId="0" xfId="3" applyNumberFormat="1" applyFont="1" applyFill="1" applyBorder="1"/>
    <xf numFmtId="166" fontId="6" fillId="0" borderId="0" xfId="4" applyNumberFormat="1" applyFont="1" applyFill="1" applyBorder="1"/>
    <xf numFmtId="166" fontId="6" fillId="0" borderId="0" xfId="3" applyNumberFormat="1" applyFont="1" applyFill="1" applyBorder="1"/>
    <xf numFmtId="166" fontId="7" fillId="0" borderId="0" xfId="3" applyNumberFormat="1" applyFont="1" applyFill="1" applyBorder="1"/>
    <xf numFmtId="167" fontId="6" fillId="0" borderId="0" xfId="5" applyNumberFormat="1" applyFont="1" applyBorder="1"/>
    <xf numFmtId="0" fontId="9" fillId="0" borderId="0" xfId="3" applyFont="1" applyFill="1" applyBorder="1" applyAlignment="1">
      <alignment horizontal="left"/>
    </xf>
    <xf numFmtId="0" fontId="10" fillId="0" borderId="0" xfId="3" applyFont="1" applyFill="1" applyBorder="1"/>
    <xf numFmtId="0" fontId="6" fillId="0" borderId="0" xfId="3" applyFont="1" applyFill="1" applyProtection="1">
      <protection locked="0"/>
    </xf>
    <xf numFmtId="0" fontId="6" fillId="0" borderId="0" xfId="3" applyFont="1" applyProtection="1">
      <protection locked="0"/>
    </xf>
    <xf numFmtId="0" fontId="6" fillId="0" borderId="0" xfId="3" applyFont="1" applyFill="1" applyBorder="1" applyProtection="1">
      <protection locked="0"/>
    </xf>
    <xf numFmtId="0" fontId="6" fillId="0" borderId="0" xfId="3" applyFont="1" applyBorder="1" applyProtection="1">
      <protection locked="0"/>
    </xf>
    <xf numFmtId="174" fontId="11" fillId="0" borderId="0" xfId="3" applyNumberFormat="1" applyFont="1" applyFill="1" applyBorder="1" applyAlignment="1" applyProtection="1">
      <alignment horizontal="center"/>
    </xf>
    <xf numFmtId="174" fontId="7" fillId="0" borderId="0" xfId="3" applyNumberFormat="1" applyFont="1" applyFill="1" applyBorder="1" applyProtection="1"/>
    <xf numFmtId="171" fontId="7" fillId="0" borderId="0" xfId="4" applyNumberFormat="1" applyFont="1" applyFill="1" applyBorder="1"/>
    <xf numFmtId="9" fontId="10" fillId="0" borderId="0" xfId="2" applyFont="1" applyFill="1" applyBorder="1"/>
    <xf numFmtId="9" fontId="6" fillId="0" borderId="0" xfId="5" applyFont="1" applyFill="1" applyBorder="1" applyAlignment="1">
      <alignment horizontal="left"/>
    </xf>
    <xf numFmtId="170" fontId="7" fillId="0" borderId="0" xfId="4" applyNumberFormat="1" applyFont="1" applyFill="1" applyBorder="1"/>
    <xf numFmtId="171" fontId="6" fillId="0" borderId="0" xfId="4" applyNumberFormat="1" applyFont="1" applyFill="1" applyBorder="1"/>
    <xf numFmtId="9" fontId="6" fillId="0" borderId="0" xfId="5" quotePrefix="1" applyFont="1" applyAlignment="1">
      <alignment horizontal="left"/>
    </xf>
    <xf numFmtId="172" fontId="10" fillId="0" borderId="0" xfId="3" applyNumberFormat="1" applyFont="1" applyFill="1" applyBorder="1"/>
    <xf numFmtId="173" fontId="10" fillId="0" borderId="0" xfId="3" applyNumberFormat="1" applyFont="1" applyFill="1" applyBorder="1"/>
    <xf numFmtId="171" fontId="13" fillId="0" borderId="0" xfId="4" applyNumberFormat="1" applyFont="1" applyFill="1" applyBorder="1"/>
    <xf numFmtId="0" fontId="6" fillId="0" borderId="0" xfId="3" applyFont="1" applyFill="1" applyBorder="1" applyAlignment="1" applyProtection="1">
      <alignment horizontal="centerContinuous"/>
      <protection locked="0"/>
    </xf>
    <xf numFmtId="166" fontId="6" fillId="0" borderId="0" xfId="3" applyNumberFormat="1" applyFont="1" applyFill="1" applyBorder="1" applyProtection="1">
      <protection locked="0"/>
    </xf>
    <xf numFmtId="166" fontId="6" fillId="0" borderId="0" xfId="4" applyNumberFormat="1" applyFont="1" applyFill="1" applyBorder="1" applyAlignment="1" applyProtection="1">
      <alignment horizontal="centerContinuous"/>
      <protection locked="0"/>
    </xf>
    <xf numFmtId="169" fontId="6" fillId="0" borderId="0" xfId="4" applyNumberFormat="1" applyFont="1" applyFill="1" applyBorder="1" applyProtection="1">
      <protection locked="0"/>
    </xf>
    <xf numFmtId="165" fontId="7" fillId="0" borderId="0" xfId="4" applyFont="1" applyFill="1" applyBorder="1" applyAlignment="1" applyProtection="1">
      <alignment horizontal="left"/>
      <protection locked="0"/>
    </xf>
    <xf numFmtId="166" fontId="6" fillId="0" borderId="0" xfId="4" applyNumberFormat="1" applyFont="1" applyFill="1" applyBorder="1" applyProtection="1">
      <protection locked="0"/>
    </xf>
    <xf numFmtId="175" fontId="6" fillId="0" borderId="0" xfId="3" applyNumberFormat="1" applyFont="1" applyBorder="1" applyProtection="1">
      <protection locked="0"/>
    </xf>
    <xf numFmtId="175" fontId="6" fillId="0" borderId="0" xfId="3" applyNumberFormat="1" applyFont="1" applyProtection="1">
      <protection locked="0"/>
    </xf>
    <xf numFmtId="169" fontId="6" fillId="0" borderId="0" xfId="4" applyNumberFormat="1" applyFont="1" applyBorder="1" applyProtection="1">
      <protection locked="0"/>
    </xf>
    <xf numFmtId="169" fontId="6" fillId="0" borderId="0" xfId="4" applyNumberFormat="1" applyFont="1" applyProtection="1">
      <protection locked="0"/>
    </xf>
    <xf numFmtId="169" fontId="6" fillId="0" borderId="0" xfId="3" applyNumberFormat="1" applyFont="1" applyFill="1" applyBorder="1" applyProtection="1">
      <protection locked="0"/>
    </xf>
    <xf numFmtId="176" fontId="6" fillId="0" borderId="0" xfId="3" applyNumberFormat="1" applyFont="1" applyFill="1" applyBorder="1" applyProtection="1">
      <protection locked="0"/>
    </xf>
    <xf numFmtId="176" fontId="6" fillId="0" borderId="0" xfId="3" applyNumberFormat="1" applyFont="1" applyBorder="1" applyProtection="1">
      <protection locked="0"/>
    </xf>
    <xf numFmtId="176" fontId="6" fillId="0" borderId="0" xfId="3" applyNumberFormat="1" applyFont="1" applyProtection="1">
      <protection locked="0"/>
    </xf>
    <xf numFmtId="177" fontId="6" fillId="0" borderId="0" xfId="3" applyNumberFormat="1" applyFont="1" applyFill="1" applyBorder="1" applyProtection="1">
      <protection locked="0"/>
    </xf>
    <xf numFmtId="176" fontId="7" fillId="0" borderId="0" xfId="3" applyNumberFormat="1" applyFont="1" applyFill="1" applyBorder="1" applyProtection="1">
      <protection locked="0"/>
    </xf>
    <xf numFmtId="168" fontId="14" fillId="0" borderId="0" xfId="4" applyNumberFormat="1" applyFont="1" applyFill="1" applyBorder="1" applyProtection="1">
      <protection locked="0"/>
    </xf>
    <xf numFmtId="0" fontId="6" fillId="2" borderId="0" xfId="3" applyFont="1" applyFill="1" applyBorder="1" applyAlignment="1" applyProtection="1">
      <alignment horizontal="right"/>
      <protection locked="0"/>
    </xf>
    <xf numFmtId="166" fontId="6" fillId="2" borderId="0" xfId="4" applyNumberFormat="1" applyFont="1" applyFill="1" applyBorder="1" applyAlignment="1" applyProtection="1">
      <alignment horizontal="right"/>
      <protection locked="0"/>
    </xf>
    <xf numFmtId="0" fontId="6" fillId="0" borderId="0" xfId="3" applyFont="1" applyBorder="1" applyAlignment="1" applyProtection="1">
      <alignment horizontal="right"/>
      <protection locked="0"/>
    </xf>
    <xf numFmtId="0" fontId="6" fillId="0" borderId="0" xfId="3" applyFont="1" applyAlignment="1" applyProtection="1">
      <alignment horizontal="right"/>
      <protection locked="0"/>
    </xf>
    <xf numFmtId="0" fontId="13" fillId="0" borderId="1" xfId="3" applyFont="1" applyFill="1" applyBorder="1" applyAlignment="1">
      <alignment horizontal="right"/>
    </xf>
    <xf numFmtId="0" fontId="13" fillId="0" borderId="0" xfId="3" applyFont="1" applyFill="1" applyBorder="1" applyAlignment="1" applyProtection="1">
      <alignment horizontal="right"/>
    </xf>
    <xf numFmtId="0" fontId="13" fillId="0" borderId="0" xfId="3" applyFont="1" applyFill="1" applyAlignment="1" applyProtection="1">
      <alignment horizontal="right"/>
      <protection locked="0"/>
    </xf>
    <xf numFmtId="0" fontId="13" fillId="0" borderId="0" xfId="3" applyFont="1" applyFill="1" applyBorder="1" applyAlignment="1" applyProtection="1">
      <alignment horizontal="right"/>
      <protection locked="0"/>
    </xf>
    <xf numFmtId="0" fontId="13" fillId="0" borderId="0" xfId="3" applyFont="1" applyFill="1" applyBorder="1" applyAlignment="1">
      <alignment horizontal="right"/>
    </xf>
    <xf numFmtId="0" fontId="4" fillId="4" borderId="0" xfId="3" applyFont="1" applyFill="1" applyBorder="1" applyProtection="1">
      <protection locked="0"/>
    </xf>
    <xf numFmtId="0" fontId="15" fillId="0" borderId="0" xfId="3" applyFont="1" applyFill="1" applyBorder="1"/>
    <xf numFmtId="0" fontId="16" fillId="0" borderId="0" xfId="3" applyFont="1" applyFill="1"/>
    <xf numFmtId="0" fontId="5" fillId="0" borderId="0" xfId="3" applyFont="1" applyFill="1" applyBorder="1"/>
    <xf numFmtId="172" fontId="5" fillId="0" borderId="0" xfId="4" applyNumberFormat="1" applyFont="1" applyFill="1" applyBorder="1"/>
    <xf numFmtId="0" fontId="18" fillId="0" borderId="0" xfId="3" applyFont="1" applyFill="1" applyBorder="1"/>
    <xf numFmtId="9" fontId="5" fillId="0" borderId="0" xfId="2" applyFont="1" applyFill="1" applyBorder="1" applyProtection="1"/>
    <xf numFmtId="174" fontId="8" fillId="0" borderId="0" xfId="3" applyNumberFormat="1" applyFont="1" applyFill="1" applyBorder="1" applyProtection="1"/>
    <xf numFmtId="166" fontId="8" fillId="0" borderId="0" xfId="4" applyNumberFormat="1" applyFont="1" applyFill="1" applyBorder="1"/>
    <xf numFmtId="167" fontId="5" fillId="0" borderId="0" xfId="5" applyNumberFormat="1" applyFont="1" applyFill="1" applyBorder="1"/>
    <xf numFmtId="166" fontId="5" fillId="0" borderId="0" xfId="4" applyNumberFormat="1" applyFont="1" applyFill="1" applyBorder="1"/>
    <xf numFmtId="172" fontId="8" fillId="0" borderId="0" xfId="4" applyNumberFormat="1" applyFont="1" applyFill="1" applyBorder="1"/>
    <xf numFmtId="166" fontId="5" fillId="0" borderId="0" xfId="1" applyNumberFormat="1" applyFont="1" applyFill="1" applyBorder="1"/>
    <xf numFmtId="9" fontId="5" fillId="0" borderId="0" xfId="2" applyFont="1" applyFill="1" applyBorder="1"/>
    <xf numFmtId="165" fontId="5" fillId="0" borderId="0" xfId="4" applyFont="1" applyFill="1" applyBorder="1" applyProtection="1">
      <protection locked="0"/>
    </xf>
    <xf numFmtId="170" fontId="5" fillId="0" borderId="0" xfId="4" applyNumberFormat="1" applyFont="1" applyFill="1" applyBorder="1" applyProtection="1">
      <protection locked="0"/>
    </xf>
    <xf numFmtId="171" fontId="5" fillId="0" borderId="0" xfId="4" applyNumberFormat="1" applyFont="1" applyFill="1" applyBorder="1" applyProtection="1">
      <protection locked="0"/>
    </xf>
    <xf numFmtId="0" fontId="5" fillId="0" borderId="0" xfId="3" applyFont="1" applyFill="1" applyBorder="1" applyProtection="1">
      <protection locked="0"/>
    </xf>
    <xf numFmtId="178" fontId="5" fillId="0" borderId="0" xfId="4" applyNumberFormat="1" applyFont="1" applyFill="1" applyBorder="1" applyProtection="1">
      <protection locked="0"/>
    </xf>
    <xf numFmtId="0" fontId="5" fillId="0" borderId="0" xfId="3" applyFont="1" applyProtection="1">
      <protection locked="0"/>
    </xf>
    <xf numFmtId="9" fontId="5" fillId="0" borderId="0" xfId="5" applyFont="1" applyFill="1" applyBorder="1"/>
    <xf numFmtId="166" fontId="5" fillId="0" borderId="0" xfId="4" applyNumberFormat="1" applyFont="1" applyFill="1" applyBorder="1" applyProtection="1">
      <protection locked="0"/>
    </xf>
    <xf numFmtId="165" fontId="5" fillId="0" borderId="0" xfId="4" quotePrefix="1" applyFont="1" applyFill="1" applyBorder="1" applyAlignment="1" applyProtection="1">
      <alignment horizontal="left"/>
      <protection locked="0"/>
    </xf>
    <xf numFmtId="171" fontId="5" fillId="0" borderId="0" xfId="3" applyNumberFormat="1" applyFont="1" applyFill="1" applyBorder="1" applyProtection="1">
      <protection locked="0"/>
    </xf>
    <xf numFmtId="166" fontId="5" fillId="0" borderId="0" xfId="3" applyNumberFormat="1" applyFont="1" applyFill="1" applyBorder="1" applyProtection="1">
      <protection locked="0"/>
    </xf>
    <xf numFmtId="168" fontId="5" fillId="0" borderId="0" xfId="4" applyNumberFormat="1" applyFont="1" applyFill="1" applyBorder="1" applyProtection="1">
      <protection locked="0"/>
    </xf>
    <xf numFmtId="166" fontId="5" fillId="2" borderId="0" xfId="4" applyNumberFormat="1" applyFont="1" applyFill="1" applyBorder="1" applyAlignment="1" applyProtection="1">
      <alignment horizontal="right"/>
      <protection locked="0"/>
    </xf>
    <xf numFmtId="0" fontId="5" fillId="2" borderId="0" xfId="3" applyFont="1" applyFill="1" applyBorder="1" applyAlignment="1" applyProtection="1">
      <alignment horizontal="right"/>
      <protection locked="0"/>
    </xf>
    <xf numFmtId="166" fontId="8" fillId="2" borderId="0" xfId="4" applyNumberFormat="1" applyFont="1" applyFill="1" applyBorder="1" applyAlignment="1" applyProtection="1">
      <alignment horizontal="right"/>
      <protection locked="0"/>
    </xf>
    <xf numFmtId="0" fontId="5" fillId="0" borderId="0" xfId="3" applyFont="1" applyFill="1" applyBorder="1" applyAlignment="1" applyProtection="1">
      <alignment horizontal="right"/>
    </xf>
    <xf numFmtId="0" fontId="16" fillId="0" borderId="0" xfId="3" applyFont="1"/>
    <xf numFmtId="167" fontId="5" fillId="0" borderId="0" xfId="5" applyNumberFormat="1" applyFont="1" applyFill="1" applyBorder="1" applyAlignment="1">
      <alignment horizontal="right"/>
    </xf>
    <xf numFmtId="166" fontId="8" fillId="0" borderId="2" xfId="4" applyNumberFormat="1" applyFont="1" applyFill="1" applyBorder="1"/>
    <xf numFmtId="172" fontId="8" fillId="0" borderId="2" xfId="4" applyNumberFormat="1" applyFont="1" applyFill="1" applyBorder="1"/>
    <xf numFmtId="0" fontId="19" fillId="0" borderId="0" xfId="3" applyFont="1" applyFill="1" applyBorder="1"/>
    <xf numFmtId="0" fontId="11" fillId="0" borderId="0" xfId="3" applyFont="1" applyFill="1" applyBorder="1" applyAlignment="1">
      <alignment horizontal="left"/>
    </xf>
    <xf numFmtId="0" fontId="20" fillId="0" borderId="0" xfId="3" applyFont="1" applyFill="1" applyBorder="1" applyAlignment="1">
      <alignment horizontal="left"/>
    </xf>
    <xf numFmtId="0" fontId="4" fillId="4" borderId="0" xfId="3" applyFont="1" applyFill="1" applyBorder="1" applyAlignment="1" applyProtection="1">
      <alignment horizontal="right"/>
      <protection locked="0"/>
    </xf>
    <xf numFmtId="38" fontId="18" fillId="0" borderId="0" xfId="4" applyNumberFormat="1" applyFont="1" applyFill="1" applyBorder="1"/>
    <xf numFmtId="166" fontId="18" fillId="0" borderId="0" xfId="4" applyNumberFormat="1" applyFont="1" applyFill="1" applyBorder="1"/>
    <xf numFmtId="166" fontId="21" fillId="0" borderId="0" xfId="4" applyNumberFormat="1" applyFont="1" applyFill="1" applyBorder="1"/>
    <xf numFmtId="166" fontId="8" fillId="2" borderId="2" xfId="4" applyNumberFormat="1" applyFont="1" applyFill="1" applyBorder="1" applyAlignment="1" applyProtection="1">
      <alignment horizontal="right"/>
      <protection locked="0"/>
    </xf>
    <xf numFmtId="166" fontId="8" fillId="0" borderId="4" xfId="4" applyNumberFormat="1" applyFont="1" applyFill="1" applyBorder="1"/>
    <xf numFmtId="170" fontId="5" fillId="0" borderId="5" xfId="4" applyNumberFormat="1" applyFont="1" applyFill="1" applyBorder="1" applyProtection="1">
      <protection locked="0"/>
    </xf>
    <xf numFmtId="0" fontId="4" fillId="4" borderId="6" xfId="3" applyFont="1" applyFill="1" applyBorder="1" applyProtection="1">
      <protection locked="0"/>
    </xf>
    <xf numFmtId="0" fontId="4" fillId="4" borderId="7" xfId="3" applyFont="1" applyFill="1" applyBorder="1" applyProtection="1">
      <protection locked="0"/>
    </xf>
    <xf numFmtId="0" fontId="4" fillId="4" borderId="8" xfId="3" applyFont="1" applyFill="1" applyBorder="1" applyProtection="1">
      <protection locked="0"/>
    </xf>
    <xf numFmtId="0" fontId="4" fillId="4" borderId="9" xfId="3" applyFont="1" applyFill="1" applyBorder="1" applyAlignment="1" applyProtection="1">
      <alignment horizontal="right"/>
      <protection locked="0"/>
    </xf>
    <xf numFmtId="0" fontId="6" fillId="0" borderId="8" xfId="3" applyFont="1" applyFill="1" applyBorder="1"/>
    <xf numFmtId="172" fontId="5" fillId="0" borderId="9" xfId="4" applyNumberFormat="1" applyFont="1" applyFill="1" applyBorder="1"/>
    <xf numFmtId="0" fontId="16" fillId="0" borderId="8" xfId="3" applyFont="1" applyFill="1" applyBorder="1" applyAlignment="1">
      <alignment horizontal="left" indent="1"/>
    </xf>
    <xf numFmtId="174" fontId="8" fillId="0" borderId="9" xfId="3" applyNumberFormat="1" applyFont="1" applyFill="1" applyBorder="1" applyProtection="1"/>
    <xf numFmtId="9" fontId="7" fillId="0" borderId="8" xfId="5" quotePrefix="1" applyFont="1" applyFill="1" applyBorder="1" applyAlignment="1">
      <alignment horizontal="left"/>
    </xf>
    <xf numFmtId="166" fontId="8" fillId="0" borderId="10" xfId="4" applyNumberFormat="1" applyFont="1" applyFill="1" applyBorder="1"/>
    <xf numFmtId="9" fontId="6" fillId="0" borderId="8" xfId="5" applyFont="1" applyFill="1" applyBorder="1" applyAlignment="1">
      <alignment horizontal="left" indent="1"/>
    </xf>
    <xf numFmtId="167" fontId="5" fillId="0" borderId="9" xfId="5" applyNumberFormat="1" applyFont="1" applyFill="1" applyBorder="1"/>
    <xf numFmtId="166" fontId="8" fillId="0" borderId="9" xfId="4" applyNumberFormat="1" applyFont="1" applyFill="1" applyBorder="1"/>
    <xf numFmtId="0" fontId="6" fillId="0" borderId="8" xfId="4" applyNumberFormat="1" applyFont="1" applyFill="1" applyBorder="1" applyAlignment="1">
      <alignment horizontal="left"/>
    </xf>
    <xf numFmtId="166" fontId="5" fillId="0" borderId="9" xfId="4" applyNumberFormat="1" applyFont="1" applyFill="1" applyBorder="1"/>
    <xf numFmtId="171" fontId="6" fillId="0" borderId="8" xfId="4" applyNumberFormat="1" applyFont="1" applyFill="1" applyBorder="1" applyAlignment="1">
      <alignment horizontal="left"/>
    </xf>
    <xf numFmtId="171" fontId="6" fillId="0" borderId="8" xfId="6" applyNumberFormat="1" applyFont="1" applyFill="1" applyBorder="1" applyAlignment="1">
      <alignment horizontal="left"/>
    </xf>
    <xf numFmtId="171" fontId="16" fillId="0" borderId="8" xfId="4" applyNumberFormat="1" applyFont="1" applyFill="1" applyBorder="1" applyAlignment="1">
      <alignment horizontal="left"/>
    </xf>
    <xf numFmtId="9" fontId="7" fillId="0" borderId="8" xfId="5" applyFont="1" applyFill="1" applyBorder="1" applyAlignment="1">
      <alignment horizontal="left"/>
    </xf>
    <xf numFmtId="171" fontId="16" fillId="0" borderId="8" xfId="4" quotePrefix="1" applyNumberFormat="1" applyFont="1" applyFill="1" applyBorder="1" applyAlignment="1">
      <alignment horizontal="left"/>
    </xf>
    <xf numFmtId="9" fontId="6" fillId="0" borderId="8" xfId="5" applyFont="1" applyFill="1" applyBorder="1" applyAlignment="1">
      <alignment horizontal="left"/>
    </xf>
    <xf numFmtId="9" fontId="6" fillId="0" borderId="8" xfId="5" applyFont="1" applyFill="1" applyBorder="1"/>
    <xf numFmtId="166" fontId="8" fillId="0" borderId="11" xfId="4" applyNumberFormat="1" applyFont="1" applyFill="1" applyBorder="1"/>
    <xf numFmtId="9" fontId="6" fillId="0" borderId="12" xfId="5" applyFont="1" applyFill="1" applyBorder="1" applyAlignment="1">
      <alignment horizontal="left" indent="1"/>
    </xf>
    <xf numFmtId="167" fontId="5" fillId="0" borderId="13" xfId="5" applyNumberFormat="1" applyFont="1" applyFill="1" applyBorder="1"/>
    <xf numFmtId="167" fontId="5" fillId="0" borderId="14" xfId="5" applyNumberFormat="1" applyFont="1" applyFill="1" applyBorder="1"/>
    <xf numFmtId="0" fontId="4" fillId="4" borderId="6" xfId="3" applyFont="1" applyFill="1" applyBorder="1" applyAlignment="1" applyProtection="1">
      <alignment horizontal="left"/>
      <protection locked="0"/>
    </xf>
    <xf numFmtId="0" fontId="4" fillId="4" borderId="7" xfId="3" applyFont="1" applyFill="1" applyBorder="1" applyAlignment="1" applyProtection="1">
      <alignment horizontal="right"/>
      <protection locked="0"/>
    </xf>
    <xf numFmtId="0" fontId="6" fillId="0" borderId="7" xfId="3" applyFont="1" applyFill="1" applyBorder="1"/>
    <xf numFmtId="0" fontId="4" fillId="4" borderId="15" xfId="3" applyFont="1" applyFill="1" applyBorder="1" applyAlignment="1" applyProtection="1">
      <alignment horizontal="right"/>
      <protection locked="0"/>
    </xf>
    <xf numFmtId="0" fontId="6" fillId="0" borderId="9" xfId="3" applyFont="1" applyBorder="1"/>
    <xf numFmtId="171" fontId="6" fillId="0" borderId="8" xfId="4" quotePrefix="1" applyNumberFormat="1" applyFont="1" applyFill="1" applyBorder="1" applyAlignment="1" applyProtection="1">
      <alignment horizontal="left"/>
      <protection locked="0"/>
    </xf>
    <xf numFmtId="166" fontId="6" fillId="0" borderId="9" xfId="4" applyNumberFormat="1" applyFont="1" applyFill="1" applyBorder="1"/>
    <xf numFmtId="0" fontId="7" fillId="0" borderId="8" xfId="3" applyFont="1" applyFill="1" applyBorder="1" applyProtection="1">
      <protection locked="0"/>
    </xf>
    <xf numFmtId="170" fontId="6" fillId="0" borderId="16" xfId="4" applyNumberFormat="1" applyFont="1" applyFill="1" applyBorder="1" applyProtection="1">
      <protection locked="0"/>
    </xf>
    <xf numFmtId="171" fontId="7" fillId="0" borderId="12" xfId="4" quotePrefix="1" applyNumberFormat="1" applyFont="1" applyFill="1" applyBorder="1" applyAlignment="1" applyProtection="1">
      <alignment horizontal="left"/>
      <protection locked="0"/>
    </xf>
    <xf numFmtId="171" fontId="8" fillId="0" borderId="13" xfId="4" applyNumberFormat="1" applyFont="1" applyFill="1" applyBorder="1" applyProtection="1">
      <protection locked="0"/>
    </xf>
    <xf numFmtId="170" fontId="8" fillId="0" borderId="13" xfId="4" applyNumberFormat="1" applyFont="1" applyFill="1" applyBorder="1" applyProtection="1">
      <protection locked="0"/>
    </xf>
    <xf numFmtId="0" fontId="6" fillId="0" borderId="13" xfId="3" applyFont="1" applyFill="1" applyBorder="1" applyAlignment="1" applyProtection="1">
      <alignment horizontal="centerContinuous"/>
      <protection locked="0"/>
    </xf>
    <xf numFmtId="170" fontId="7" fillId="0" borderId="14" xfId="4" applyNumberFormat="1" applyFont="1" applyFill="1" applyBorder="1" applyProtection="1">
      <protection locked="0"/>
    </xf>
    <xf numFmtId="165" fontId="6" fillId="0" borderId="8" xfId="4" applyFont="1" applyFill="1" applyBorder="1" applyProtection="1">
      <protection locked="0"/>
    </xf>
    <xf numFmtId="170" fontId="6" fillId="0" borderId="9" xfId="3" applyNumberFormat="1" applyFont="1" applyFill="1" applyBorder="1" applyProtection="1">
      <protection locked="0"/>
    </xf>
    <xf numFmtId="165" fontId="7" fillId="0" borderId="8" xfId="4" applyFont="1" applyFill="1" applyBorder="1" applyAlignment="1" applyProtection="1">
      <alignment horizontal="left"/>
      <protection locked="0"/>
    </xf>
    <xf numFmtId="166" fontId="7" fillId="0" borderId="9" xfId="4" applyNumberFormat="1" applyFont="1" applyFill="1" applyBorder="1" applyProtection="1">
      <protection locked="0"/>
    </xf>
    <xf numFmtId="0" fontId="6" fillId="0" borderId="8" xfId="3" quotePrefix="1" applyFont="1" applyFill="1" applyBorder="1" applyProtection="1">
      <protection locked="0"/>
    </xf>
    <xf numFmtId="166" fontId="7" fillId="0" borderId="10" xfId="4" applyNumberFormat="1" applyFont="1" applyFill="1" applyBorder="1" applyProtection="1">
      <protection locked="0"/>
    </xf>
    <xf numFmtId="0" fontId="13" fillId="0" borderId="8" xfId="3" quotePrefix="1" applyFont="1" applyFill="1" applyBorder="1" applyProtection="1">
      <protection locked="0"/>
    </xf>
    <xf numFmtId="165" fontId="7" fillId="0" borderId="12" xfId="4" applyFont="1" applyFill="1" applyBorder="1" applyAlignment="1" applyProtection="1">
      <alignment horizontal="left"/>
      <protection locked="0"/>
    </xf>
    <xf numFmtId="166" fontId="7" fillId="0" borderId="17" xfId="4" applyNumberFormat="1" applyFont="1" applyFill="1" applyBorder="1" applyProtection="1">
      <protection locked="0"/>
    </xf>
    <xf numFmtId="166" fontId="8" fillId="5" borderId="6" xfId="4" applyNumberFormat="1" applyFont="1" applyFill="1" applyBorder="1"/>
    <xf numFmtId="166" fontId="8" fillId="5" borderId="7" xfId="4" applyNumberFormat="1" applyFont="1" applyFill="1" applyBorder="1"/>
    <xf numFmtId="166" fontId="8" fillId="5" borderId="7" xfId="4" applyNumberFormat="1" applyFont="1" applyFill="1" applyBorder="1" applyAlignment="1">
      <alignment horizontal="right"/>
    </xf>
    <xf numFmtId="166" fontId="8" fillId="5" borderId="15" xfId="4" applyNumberFormat="1" applyFont="1" applyFill="1" applyBorder="1" applyAlignment="1">
      <alignment horizontal="right"/>
    </xf>
    <xf numFmtId="0" fontId="6" fillId="0" borderId="8" xfId="3" applyFont="1" applyBorder="1" applyAlignment="1" applyProtection="1">
      <alignment horizontal="right"/>
      <protection locked="0"/>
    </xf>
    <xf numFmtId="0" fontId="6" fillId="0" borderId="9" xfId="3" applyFont="1" applyBorder="1" applyAlignment="1" applyProtection="1">
      <alignment horizontal="right"/>
      <protection locked="0"/>
    </xf>
    <xf numFmtId="0" fontId="7" fillId="2" borderId="8" xfId="3" applyFont="1" applyFill="1" applyBorder="1" applyAlignment="1" applyProtection="1">
      <alignment horizontal="left"/>
      <protection locked="0"/>
    </xf>
    <xf numFmtId="166" fontId="8" fillId="2" borderId="9" xfId="4" applyNumberFormat="1" applyFont="1" applyFill="1" applyBorder="1" applyAlignment="1" applyProtection="1">
      <alignment horizontal="right"/>
      <protection locked="0"/>
    </xf>
    <xf numFmtId="0" fontId="6" fillId="2" borderId="8" xfId="3" applyFont="1" applyFill="1" applyBorder="1" applyAlignment="1" applyProtection="1">
      <alignment horizontal="left"/>
      <protection locked="0"/>
    </xf>
    <xf numFmtId="166" fontId="5" fillId="2" borderId="9" xfId="4" applyNumberFormat="1" applyFont="1" applyFill="1" applyBorder="1" applyAlignment="1" applyProtection="1">
      <alignment horizontal="right"/>
      <protection locked="0"/>
    </xf>
    <xf numFmtId="166" fontId="8" fillId="2" borderId="10" xfId="4" applyNumberFormat="1" applyFont="1" applyFill="1" applyBorder="1" applyAlignment="1" applyProtection="1">
      <alignment horizontal="right"/>
      <protection locked="0"/>
    </xf>
    <xf numFmtId="0" fontId="6" fillId="0" borderId="8" xfId="3" applyFont="1" applyBorder="1" applyProtection="1">
      <protection locked="0"/>
    </xf>
    <xf numFmtId="0" fontId="6" fillId="0" borderId="9" xfId="3" applyFont="1" applyBorder="1" applyProtection="1">
      <protection locked="0"/>
    </xf>
    <xf numFmtId="166" fontId="8" fillId="5" borderId="12" xfId="4" applyNumberFormat="1" applyFont="1" applyFill="1" applyBorder="1"/>
    <xf numFmtId="166" fontId="8" fillId="5" borderId="13" xfId="4" applyNumberFormat="1" applyFont="1" applyFill="1" applyBorder="1"/>
    <xf numFmtId="166" fontId="8" fillId="5" borderId="14" xfId="4" applyNumberFormat="1" applyFont="1" applyFill="1" applyBorder="1"/>
    <xf numFmtId="167" fontId="6" fillId="0" borderId="0" xfId="5" applyNumberFormat="1" applyFont="1" applyFill="1" applyBorder="1" applyAlignment="1">
      <alignment horizontal="right"/>
    </xf>
    <xf numFmtId="9" fontId="6" fillId="0" borderId="0" xfId="3" applyNumberFormat="1" applyFont="1" applyBorder="1"/>
    <xf numFmtId="167" fontId="6" fillId="0" borderId="0" xfId="3" applyNumberFormat="1" applyFont="1" applyFill="1" applyBorder="1"/>
    <xf numFmtId="166" fontId="7" fillId="0" borderId="3" xfId="3" applyNumberFormat="1" applyFont="1" applyFill="1" applyBorder="1"/>
    <xf numFmtId="166" fontId="7" fillId="0" borderId="3" xfId="4" applyNumberFormat="1" applyFont="1" applyBorder="1"/>
    <xf numFmtId="166" fontId="7" fillId="0" borderId="3" xfId="4" applyNumberFormat="1" applyFont="1" applyFill="1" applyBorder="1"/>
    <xf numFmtId="0" fontId="6" fillId="0" borderId="8" xfId="3" applyFont="1" applyBorder="1"/>
    <xf numFmtId="0" fontId="7" fillId="0" borderId="8" xfId="3" applyFont="1" applyBorder="1"/>
    <xf numFmtId="166" fontId="7" fillId="0" borderId="9" xfId="4" applyNumberFormat="1" applyFont="1" applyFill="1" applyBorder="1"/>
    <xf numFmtId="167" fontId="6" fillId="0" borderId="9" xfId="5" applyNumberFormat="1" applyFont="1" applyFill="1" applyBorder="1"/>
    <xf numFmtId="0" fontId="6" fillId="0" borderId="9" xfId="3" applyFont="1" applyFill="1" applyBorder="1"/>
    <xf numFmtId="0" fontId="6" fillId="0" borderId="8" xfId="3" applyFont="1" applyBorder="1" applyAlignment="1">
      <alignment horizontal="left" indent="1"/>
    </xf>
    <xf numFmtId="167" fontId="6" fillId="0" borderId="9" xfId="3" applyNumberFormat="1" applyFont="1" applyFill="1" applyBorder="1"/>
    <xf numFmtId="166" fontId="6" fillId="0" borderId="9" xfId="4" applyNumberFormat="1" applyFont="1" applyBorder="1"/>
    <xf numFmtId="165" fontId="6" fillId="0" borderId="0" xfId="3" applyNumberFormat="1" applyFont="1" applyFill="1" applyBorder="1"/>
    <xf numFmtId="0" fontId="7" fillId="0" borderId="8" xfId="3" applyFont="1" applyFill="1" applyBorder="1"/>
    <xf numFmtId="0" fontId="7" fillId="0" borderId="12" xfId="3" applyFont="1" applyFill="1" applyBorder="1"/>
    <xf numFmtId="0" fontId="7" fillId="0" borderId="13" xfId="3" applyFont="1" applyFill="1" applyBorder="1"/>
    <xf numFmtId="166" fontId="7" fillId="0" borderId="18" xfId="3" applyNumberFormat="1" applyFont="1" applyFill="1" applyBorder="1"/>
    <xf numFmtId="166" fontId="7" fillId="0" borderId="9" xfId="3" applyNumberFormat="1" applyFont="1" applyFill="1" applyBorder="1"/>
    <xf numFmtId="0" fontId="7" fillId="0" borderId="12" xfId="3" applyFont="1" applyBorder="1"/>
    <xf numFmtId="166" fontId="7" fillId="0" borderId="17" xfId="3" applyNumberFormat="1" applyFont="1" applyFill="1" applyBorder="1"/>
    <xf numFmtId="9" fontId="6" fillId="0" borderId="9" xfId="5" applyFont="1" applyBorder="1"/>
    <xf numFmtId="164" fontId="6" fillId="0" borderId="9" xfId="3" applyNumberFormat="1" applyFont="1" applyFill="1" applyBorder="1"/>
    <xf numFmtId="166" fontId="6" fillId="0" borderId="9" xfId="3" applyNumberFormat="1" applyFont="1" applyFill="1" applyBorder="1"/>
    <xf numFmtId="167" fontId="6" fillId="0" borderId="9" xfId="5" applyNumberFormat="1" applyFont="1" applyBorder="1"/>
    <xf numFmtId="0" fontId="7" fillId="0" borderId="12" xfId="3" applyFont="1" applyFill="1" applyBorder="1" applyAlignment="1">
      <alignment horizontal="left"/>
    </xf>
    <xf numFmtId="0" fontId="6" fillId="0" borderId="13" xfId="3" applyFont="1" applyBorder="1"/>
    <xf numFmtId="0" fontId="6" fillId="0" borderId="13" xfId="3" applyFont="1" applyFill="1" applyBorder="1"/>
    <xf numFmtId="0" fontId="6" fillId="0" borderId="14" xfId="3" applyFont="1" applyFill="1" applyBorder="1"/>
    <xf numFmtId="0" fontId="5" fillId="0" borderId="0" xfId="0" applyFont="1" applyBorder="1"/>
    <xf numFmtId="0" fontId="7" fillId="3" borderId="0" xfId="3" applyFont="1" applyFill="1" applyBorder="1" applyProtection="1">
      <protection locked="0"/>
    </xf>
    <xf numFmtId="180" fontId="7" fillId="3" borderId="0" xfId="1" applyNumberFormat="1" applyFont="1" applyFill="1" applyBorder="1"/>
    <xf numFmtId="0" fontId="4" fillId="4" borderId="15" xfId="3" applyFont="1" applyFill="1" applyBorder="1" applyProtection="1">
      <protection locked="0"/>
    </xf>
    <xf numFmtId="0" fontId="7" fillId="0" borderId="8" xfId="3" applyFont="1" applyFill="1" applyBorder="1" applyAlignment="1" applyProtection="1">
      <alignment horizontal="left"/>
      <protection locked="0"/>
    </xf>
    <xf numFmtId="0" fontId="7" fillId="0" borderId="9" xfId="3" applyFont="1" applyFill="1" applyBorder="1" applyAlignment="1" applyProtection="1">
      <alignment horizontal="right"/>
      <protection locked="0"/>
    </xf>
    <xf numFmtId="0" fontId="6" fillId="3" borderId="8" xfId="3" applyFont="1" applyFill="1" applyBorder="1" applyProtection="1">
      <protection locked="0"/>
    </xf>
    <xf numFmtId="180" fontId="6" fillId="3" borderId="9" xfId="1" applyNumberFormat="1" applyFont="1" applyFill="1" applyBorder="1"/>
    <xf numFmtId="0" fontId="7" fillId="3" borderId="8" xfId="3" applyFont="1" applyFill="1" applyBorder="1" applyProtection="1">
      <protection locked="0"/>
    </xf>
    <xf numFmtId="0" fontId="6" fillId="0" borderId="8" xfId="3" applyFont="1" applyFill="1" applyBorder="1" applyProtection="1">
      <protection locked="0"/>
    </xf>
    <xf numFmtId="9" fontId="6" fillId="3" borderId="9" xfId="1" applyNumberFormat="1" applyFont="1" applyFill="1" applyBorder="1"/>
    <xf numFmtId="179" fontId="6" fillId="3" borderId="9" xfId="0" applyNumberFormat="1" applyFont="1" applyFill="1" applyBorder="1"/>
    <xf numFmtId="180" fontId="7" fillId="3" borderId="17" xfId="1" applyNumberFormat="1" applyFont="1" applyFill="1" applyBorder="1"/>
    <xf numFmtId="0" fontId="5" fillId="0" borderId="8" xfId="0" applyFont="1" applyBorder="1"/>
    <xf numFmtId="0" fontId="8" fillId="0" borderId="12" xfId="0" applyFont="1" applyBorder="1"/>
    <xf numFmtId="180" fontId="7" fillId="3" borderId="20" xfId="1" applyNumberFormat="1" applyFont="1" applyFill="1" applyBorder="1"/>
    <xf numFmtId="0" fontId="6" fillId="0" borderId="12" xfId="3" applyFont="1" applyFill="1" applyBorder="1" applyProtection="1">
      <protection locked="0"/>
    </xf>
    <xf numFmtId="0" fontId="7" fillId="0" borderId="12" xfId="3" applyFont="1" applyFill="1" applyBorder="1" applyProtection="1">
      <protection locked="0"/>
    </xf>
    <xf numFmtId="180" fontId="7" fillId="3" borderId="14" xfId="1" applyNumberFormat="1" applyFont="1" applyFill="1" applyBorder="1"/>
    <xf numFmtId="179" fontId="6" fillId="3" borderId="21" xfId="0" applyNumberFormat="1" applyFont="1" applyFill="1" applyBorder="1"/>
    <xf numFmtId="0" fontId="16" fillId="0" borderId="0" xfId="3" applyFont="1" applyFill="1" applyBorder="1" applyAlignment="1">
      <alignment horizontal="left" indent="1"/>
    </xf>
    <xf numFmtId="167" fontId="16" fillId="0" borderId="0" xfId="2" applyNumberFormat="1" applyFont="1" applyFill="1" applyBorder="1" applyAlignment="1" applyProtection="1">
      <alignment horizontal="right"/>
      <protection locked="0"/>
    </xf>
    <xf numFmtId="172" fontId="8" fillId="0" borderId="3" xfId="4" applyNumberFormat="1" applyFont="1" applyFill="1" applyBorder="1"/>
    <xf numFmtId="166" fontId="8" fillId="0" borderId="23" xfId="4" applyNumberFormat="1" applyFont="1" applyFill="1" applyBorder="1"/>
    <xf numFmtId="172" fontId="6" fillId="0" borderId="8" xfId="4" applyNumberFormat="1" applyFont="1" applyFill="1" applyBorder="1"/>
    <xf numFmtId="170" fontId="7" fillId="0" borderId="8" xfId="4" applyNumberFormat="1" applyFont="1" applyFill="1" applyBorder="1"/>
    <xf numFmtId="171" fontId="7" fillId="0" borderId="8" xfId="4" applyNumberFormat="1" applyFont="1" applyFill="1" applyBorder="1"/>
    <xf numFmtId="171" fontId="6" fillId="0" borderId="8" xfId="4" applyNumberFormat="1" applyFont="1" applyFill="1" applyBorder="1"/>
    <xf numFmtId="172" fontId="12" fillId="0" borderId="8" xfId="4" applyNumberFormat="1" applyFont="1" applyFill="1" applyBorder="1"/>
    <xf numFmtId="0" fontId="0" fillId="0" borderId="0" xfId="0" applyBorder="1"/>
    <xf numFmtId="10" fontId="16" fillId="0" borderId="0" xfId="2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180" fontId="22" fillId="0" borderId="0" xfId="1" applyNumberFormat="1" applyFont="1" applyBorder="1"/>
    <xf numFmtId="0" fontId="22" fillId="0" borderId="0" xfId="0" applyFont="1" applyBorder="1" applyAlignment="1"/>
    <xf numFmtId="0" fontId="22" fillId="0" borderId="6" xfId="0" applyFont="1" applyBorder="1"/>
    <xf numFmtId="0" fontId="0" fillId="0" borderId="15" xfId="0" applyBorder="1"/>
    <xf numFmtId="0" fontId="6" fillId="0" borderId="12" xfId="4" applyNumberFormat="1" applyFont="1" applyFill="1" applyBorder="1" applyAlignment="1">
      <alignment horizontal="left"/>
    </xf>
    <xf numFmtId="0" fontId="20" fillId="0" borderId="8" xfId="3" applyFont="1" applyFill="1" applyBorder="1" applyAlignment="1">
      <alignment horizontal="left"/>
    </xf>
    <xf numFmtId="0" fontId="20" fillId="0" borderId="12" xfId="3" applyFont="1" applyFill="1" applyBorder="1" applyAlignment="1">
      <alignment horizontal="left"/>
    </xf>
    <xf numFmtId="166" fontId="18" fillId="0" borderId="9" xfId="4" applyNumberFormat="1" applyFont="1" applyFill="1" applyBorder="1"/>
    <xf numFmtId="0" fontId="5" fillId="0" borderId="0" xfId="3" applyFont="1" applyFill="1" applyBorder="1" applyAlignment="1" applyProtection="1">
      <alignment horizontal="right"/>
      <protection locked="0"/>
    </xf>
    <xf numFmtId="166" fontId="8" fillId="0" borderId="3" xfId="4" applyNumberFormat="1" applyFont="1" applyFill="1" applyBorder="1"/>
    <xf numFmtId="171" fontId="16" fillId="0" borderId="8" xfId="4" applyNumberFormat="1" applyFont="1" applyFill="1" applyBorder="1"/>
    <xf numFmtId="174" fontId="7" fillId="0" borderId="8" xfId="3" applyNumberFormat="1" applyFont="1" applyFill="1" applyBorder="1" applyProtection="1"/>
    <xf numFmtId="174" fontId="17" fillId="0" borderId="8" xfId="3" applyNumberFormat="1" applyFont="1" applyFill="1" applyBorder="1" applyProtection="1"/>
    <xf numFmtId="167" fontId="23" fillId="6" borderId="14" xfId="2" applyNumberFormat="1" applyFont="1" applyFill="1" applyBorder="1" applyAlignment="1" applyProtection="1">
      <alignment horizontal="right"/>
      <protection locked="0"/>
    </xf>
    <xf numFmtId="9" fontId="23" fillId="6" borderId="9" xfId="2" applyNumberFormat="1" applyFont="1" applyFill="1" applyBorder="1" applyAlignment="1" applyProtection="1">
      <alignment horizontal="right"/>
      <protection locked="0"/>
    </xf>
    <xf numFmtId="9" fontId="23" fillId="0" borderId="0" xfId="2" applyNumberFormat="1" applyFont="1" applyFill="1" applyBorder="1" applyAlignment="1" applyProtection="1">
      <alignment horizontal="right"/>
      <protection locked="0"/>
    </xf>
    <xf numFmtId="9" fontId="6" fillId="0" borderId="0" xfId="2" applyNumberFormat="1" applyFont="1" applyFill="1" applyBorder="1" applyAlignment="1" applyProtection="1">
      <alignment horizontal="right"/>
      <protection locked="0"/>
    </xf>
    <xf numFmtId="171" fontId="17" fillId="0" borderId="12" xfId="4" applyNumberFormat="1" applyFont="1" applyFill="1" applyBorder="1" applyAlignment="1">
      <alignment horizontal="left"/>
    </xf>
    <xf numFmtId="9" fontId="6" fillId="3" borderId="14" xfId="2" applyNumberFormat="1" applyFont="1" applyFill="1" applyBorder="1" applyAlignment="1" applyProtection="1">
      <alignment horizontal="right"/>
      <protection locked="0"/>
    </xf>
    <xf numFmtId="10" fontId="23" fillId="6" borderId="9" xfId="2" applyNumberFormat="1" applyFont="1" applyFill="1" applyBorder="1" applyAlignment="1" applyProtection="1">
      <alignment horizontal="right"/>
      <protection locked="0"/>
    </xf>
    <xf numFmtId="10" fontId="23" fillId="6" borderId="14" xfId="2" applyNumberFormat="1" applyFont="1" applyFill="1" applyBorder="1" applyAlignment="1" applyProtection="1">
      <alignment horizontal="right"/>
      <protection locked="0"/>
    </xf>
    <xf numFmtId="0" fontId="26" fillId="0" borderId="0" xfId="3" applyFont="1" applyFill="1" applyBorder="1" applyAlignment="1">
      <alignment horizontal="left"/>
    </xf>
    <xf numFmtId="43" fontId="23" fillId="6" borderId="9" xfId="1" applyFont="1" applyFill="1" applyBorder="1" applyAlignment="1" applyProtection="1">
      <alignment horizontal="right"/>
      <protection locked="0"/>
    </xf>
    <xf numFmtId="180" fontId="23" fillId="6" borderId="9" xfId="1" applyNumberFormat="1" applyFont="1" applyFill="1" applyBorder="1" applyAlignment="1" applyProtection="1">
      <alignment horizontal="right"/>
      <protection locked="0"/>
    </xf>
    <xf numFmtId="0" fontId="4" fillId="0" borderId="0" xfId="3" applyFont="1" applyFill="1" applyBorder="1" applyAlignment="1" applyProtection="1">
      <alignment horizontal="right"/>
      <protection locked="0"/>
    </xf>
    <xf numFmtId="167" fontId="23" fillId="0" borderId="0" xfId="2" applyNumberFormat="1" applyFont="1" applyFill="1" applyBorder="1" applyAlignment="1" applyProtection="1">
      <alignment horizontal="right"/>
      <protection locked="0"/>
    </xf>
    <xf numFmtId="43" fontId="23" fillId="0" borderId="0" xfId="1" applyFont="1" applyFill="1" applyBorder="1"/>
    <xf numFmtId="9" fontId="23" fillId="6" borderId="14" xfId="2" applyFont="1" applyFill="1" applyBorder="1" applyAlignment="1" applyProtection="1">
      <alignment horizontal="right"/>
      <protection locked="0"/>
    </xf>
    <xf numFmtId="43" fontId="23" fillId="6" borderId="14" xfId="1" applyFont="1" applyFill="1" applyBorder="1" applyAlignment="1" applyProtection="1">
      <alignment horizontal="right"/>
      <protection locked="0"/>
    </xf>
    <xf numFmtId="0" fontId="27" fillId="0" borderId="0" xfId="3" applyFont="1" applyFill="1" applyBorder="1" applyAlignment="1">
      <alignment horizontal="left"/>
    </xf>
    <xf numFmtId="0" fontId="29" fillId="0" borderId="0" xfId="0" applyFont="1"/>
    <xf numFmtId="172" fontId="5" fillId="0" borderId="23" xfId="4" applyNumberFormat="1" applyFont="1" applyFill="1" applyBorder="1"/>
    <xf numFmtId="0" fontId="9" fillId="0" borderId="24" xfId="3" applyFont="1" applyFill="1" applyBorder="1" applyAlignment="1">
      <alignment horizontal="left"/>
    </xf>
    <xf numFmtId="166" fontId="8" fillId="2" borderId="3" xfId="4" applyNumberFormat="1" applyFont="1" applyFill="1" applyBorder="1" applyAlignment="1" applyProtection="1">
      <alignment horizontal="right"/>
      <protection locked="0"/>
    </xf>
    <xf numFmtId="166" fontId="7" fillId="0" borderId="20" xfId="4" applyNumberFormat="1" applyFont="1" applyBorder="1"/>
    <xf numFmtId="166" fontId="7" fillId="0" borderId="20" xfId="3" applyNumberFormat="1" applyFont="1" applyFill="1" applyBorder="1"/>
    <xf numFmtId="166" fontId="7" fillId="0" borderId="20" xfId="4" applyNumberFormat="1" applyFont="1" applyFill="1" applyBorder="1"/>
    <xf numFmtId="166" fontId="7" fillId="0" borderId="25" xfId="3" applyNumberFormat="1" applyFont="1" applyFill="1" applyBorder="1"/>
    <xf numFmtId="0" fontId="6" fillId="0" borderId="12" xfId="3" applyFont="1" applyFill="1" applyBorder="1" applyAlignment="1"/>
    <xf numFmtId="166" fontId="6" fillId="0" borderId="22" xfId="4" applyNumberFormat="1" applyFont="1" applyFill="1" applyBorder="1"/>
    <xf numFmtId="0" fontId="0" fillId="0" borderId="0" xfId="0" applyFill="1"/>
    <xf numFmtId="181" fontId="23" fillId="6" borderId="9" xfId="1" applyNumberFormat="1" applyFont="1" applyFill="1" applyBorder="1" applyAlignment="1" applyProtection="1">
      <alignment horizontal="right"/>
      <protection locked="0"/>
    </xf>
    <xf numFmtId="179" fontId="23" fillId="6" borderId="9" xfId="1" applyNumberFormat="1" applyFont="1" applyFill="1" applyBorder="1" applyAlignment="1" applyProtection="1">
      <alignment horizontal="right"/>
      <protection locked="0"/>
    </xf>
    <xf numFmtId="166" fontId="8" fillId="0" borderId="6" xfId="4" applyNumberFormat="1" applyFont="1" applyFill="1" applyBorder="1"/>
    <xf numFmtId="166" fontId="8" fillId="0" borderId="15" xfId="4" applyNumberFormat="1" applyFont="1" applyFill="1" applyBorder="1" applyAlignment="1">
      <alignment horizontal="center" wrapText="1"/>
    </xf>
    <xf numFmtId="179" fontId="8" fillId="0" borderId="19" xfId="1" applyNumberFormat="1" applyFont="1" applyBorder="1" applyProtection="1">
      <protection locked="0"/>
    </xf>
    <xf numFmtId="181" fontId="31" fillId="7" borderId="0" xfId="1" applyNumberFormat="1" applyFont="1" applyFill="1" applyBorder="1" applyAlignment="1" applyProtection="1">
      <alignment horizontal="center" vertical="center"/>
      <protection locked="0"/>
    </xf>
    <xf numFmtId="181" fontId="31" fillId="7" borderId="29" xfId="1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181" fontId="31" fillId="7" borderId="26" xfId="1" applyNumberFormat="1" applyFont="1" applyFill="1" applyBorder="1" applyAlignment="1" applyProtection="1">
      <alignment horizontal="center" vertical="center"/>
      <protection locked="0"/>
    </xf>
    <xf numFmtId="0" fontId="30" fillId="7" borderId="27" xfId="0" applyFont="1" applyFill="1" applyBorder="1" applyAlignment="1">
      <alignment horizontal="center" vertical="center"/>
    </xf>
    <xf numFmtId="0" fontId="30" fillId="7" borderId="27" xfId="0" applyFont="1" applyFill="1" applyBorder="1" applyAlignment="1">
      <alignment horizontal="center"/>
    </xf>
    <xf numFmtId="0" fontId="30" fillId="7" borderId="26" xfId="0" applyFont="1" applyFill="1" applyBorder="1" applyAlignment="1">
      <alignment horizontal="center"/>
    </xf>
    <xf numFmtId="0" fontId="30" fillId="7" borderId="30" xfId="0" applyFont="1" applyFill="1" applyBorder="1" applyAlignment="1">
      <alignment horizontal="center"/>
    </xf>
    <xf numFmtId="0" fontId="30" fillId="7" borderId="28" xfId="0" applyFont="1" applyFill="1" applyBorder="1" applyAlignment="1">
      <alignment horizontal="center"/>
    </xf>
    <xf numFmtId="0" fontId="4" fillId="4" borderId="24" xfId="3" applyFont="1" applyFill="1" applyBorder="1" applyAlignment="1" applyProtection="1">
      <alignment horizontal="center"/>
      <protection locked="0"/>
    </xf>
  </cellXfs>
  <cellStyles count="81">
    <cellStyle name="Comma 2" xfId="6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Normal" xfId="0" builtinId="0"/>
    <cellStyle name="Normal 3 2" xfId="3"/>
    <cellStyle name="Porcentagem" xfId="2" builtinId="5"/>
    <cellStyle name="Porcentagem 2" xfId="5"/>
    <cellStyle name="Vírgula" xfId="1" builtinId="3"/>
    <cellStyle name="Vírgula 2" xfId="4"/>
  </cellStyles>
  <dxfs count="18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28"/>
      </font>
    </dxf>
    <dxf>
      <font>
        <condense val="0"/>
        <extend val="0"/>
        <color indexed="28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28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28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1290B2"/>
      <color rgb="FF14A0C6"/>
      <color rgb="FF23A4CE"/>
      <color rgb="FFE7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lueleads.com.br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nibo.com.br/contador" TargetMode="External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lueleads.com.br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nibo.com.br/contador" TargetMode="External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lueleads.com.br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nibo.com.br/contador" TargetMode="External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lueleads.com.br" TargetMode="External"/><Relationship Id="rId2" Type="http://schemas.openxmlformats.org/officeDocument/2006/relationships/image" Target="../media/image3.jpeg"/><Relationship Id="rId1" Type="http://schemas.openxmlformats.org/officeDocument/2006/relationships/hyperlink" Target="http://www.nibo.com.br/contador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23</xdr:row>
      <xdr:rowOff>100188</xdr:rowOff>
    </xdr:from>
    <xdr:to>
      <xdr:col>16</xdr:col>
      <xdr:colOff>606778</xdr:colOff>
      <xdr:row>40</xdr:row>
      <xdr:rowOff>197556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724958" y="4319410"/>
          <a:ext cx="10719153" cy="32582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NOTAS IMPORTANTES:  </a:t>
          </a:r>
        </a:p>
        <a:p>
          <a:endParaRPr lang="en-US" sz="1400"/>
        </a:p>
        <a:p>
          <a:r>
            <a:rPr lang="en-US" sz="1400"/>
            <a:t>1) Essa planilha foi desenvolvida</a:t>
          </a:r>
          <a:r>
            <a:rPr lang="en-US" sz="1400" baseline="0"/>
            <a:t> exclusivamente para fins educativos, não devendo ser utilizada como ferramenta para avaliação e aquisição de empresas ou carteiras de clientes.</a:t>
          </a:r>
        </a:p>
        <a:p>
          <a:endParaRPr lang="en-US" sz="1400" baseline="0"/>
        </a:p>
        <a:p>
          <a:r>
            <a:rPr lang="en-US" sz="1400" baseline="0"/>
            <a:t>2) Este documento é propriedade da Blue Leads e não pode ser utilizado para fins comerciais ou profissionais sem uma autorização prévia por escrito da Blue Leads. A Nibo, a Blue Leads e seus sócios são os únicos autorizados a fazerem uso comercial deste documento.</a:t>
          </a:r>
        </a:p>
        <a:p>
          <a:endParaRPr lang="en-US" sz="1400" baseline="0"/>
        </a:p>
        <a:p>
          <a:r>
            <a:rPr lang="en-US" sz="1400" baseline="0"/>
            <a:t>3) Não nos responsabilizamos pela utilização desta planilha para outros fins que não o declarado no item 1 aqui. Dessa forma, para efetuar uma aquisição ou venda de sua carteira de clientes ou escritório de contabilidade, recomenda-se a contratação de empresas especializadas nesse tipo de serviço.</a:t>
          </a:r>
        </a:p>
        <a:p>
          <a:endParaRPr lang="en-US" sz="1400" baseline="0"/>
        </a:p>
        <a:p>
          <a:r>
            <a:rPr lang="en-US" sz="1400" baseline="0"/>
            <a:t>Versão 1.0</a:t>
          </a:r>
        </a:p>
        <a:p>
          <a:r>
            <a:rPr lang="en-US" sz="1400" baseline="0"/>
            <a:t>6/4/2017</a:t>
          </a:r>
          <a:endParaRPr lang="en-US" sz="1400"/>
        </a:p>
      </xdr:txBody>
    </xdr:sp>
    <xdr:clientData/>
  </xdr:twoCellAnchor>
  <xdr:twoCellAnchor>
    <xdr:from>
      <xdr:col>1</xdr:col>
      <xdr:colOff>54681</xdr:colOff>
      <xdr:row>1</xdr:row>
      <xdr:rowOff>107243</xdr:rowOff>
    </xdr:from>
    <xdr:to>
      <xdr:col>16</xdr:col>
      <xdr:colOff>592667</xdr:colOff>
      <xdr:row>22</xdr:row>
      <xdr:rowOff>98778</xdr:rowOff>
    </xdr:to>
    <xdr:sp macro="" textlink="">
      <xdr:nvSpPr>
        <xdr:cNvPr id="3" name="CaixaDeText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732014" y="290687"/>
          <a:ext cx="10697986" cy="38438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INSTRUÇÕES DE USO</a:t>
          </a:r>
        </a:p>
        <a:p>
          <a:endParaRPr lang="en-US" sz="1400"/>
        </a:p>
        <a:p>
          <a:r>
            <a:rPr lang="en-US" sz="1400" b="1"/>
            <a:t>1) Preencha os</a:t>
          </a:r>
          <a:r>
            <a:rPr lang="en-US" sz="1400" b="1" baseline="0"/>
            <a:t> dados da sua empresa contábil na aba "Dados - Premissas" e veja o resultado de acordo com 3 metodologias</a:t>
          </a:r>
        </a:p>
        <a:p>
          <a:endParaRPr lang="en-US" sz="1400" b="1" baseline="0"/>
        </a:p>
        <a:p>
          <a:r>
            <a:rPr lang="en-US" sz="1400" b="1" baseline="0"/>
            <a:t>2) Caso tenha interesse, veja o detalhe dos cálculos nas abas seguintes:</a:t>
          </a:r>
        </a:p>
        <a:p>
          <a:endParaRPr lang="en-US" sz="1400" baseline="0"/>
        </a:p>
        <a:p>
          <a:r>
            <a:rPr lang="en-US" sz="1400" baseline="0"/>
            <a:t>- Aba "FDC - Empresas":  Conceito de metodologia de fluxo de caixa da empresa, com o objetivo de estimar o valor justo da companhia, através da análise fundamentalista.  Essa metodologia consiste na projeção econômico-financeira de performance futura da companhia.</a:t>
          </a:r>
        </a:p>
        <a:p>
          <a:endParaRPr lang="en-US" sz="1400" baseline="0"/>
        </a:p>
        <a:p>
          <a:r>
            <a:rPr lang="en-US" sz="1400" baseline="0"/>
            <a:t>- Aba "FDC - Carteira":  Conceito de metodologia de fluxo de caixa da carteira (somente), com o objetivo de estimar o valor justa da carteira.  Nessa metodologia, um dos pontos mais importantes é que nesse conceito, quando se compra a carteira, estima-se que a carteira terá uma vida finita, ou seja, o comprador não conseguirá reter a mesma por um prazo infinito.  Esse conceito está definido na premissa taxa de perda de clientes (churn).</a:t>
          </a:r>
        </a:p>
        <a:p>
          <a:endParaRPr lang="en-US" sz="1400" baseline="0"/>
        </a:p>
        <a:p>
          <a:r>
            <a:rPr lang="en-US" sz="1400" baseline="0"/>
            <a:t>- Aba Múltiplos Empresa - Carteira:  Nessa metodologia de múltiplos, o valor justo da empresa ou carteira é calculado por meio de múltiplos de transações de empresas com características similares de mercado.   </a:t>
          </a:r>
        </a:p>
      </xdr:txBody>
    </xdr:sp>
    <xdr:clientData/>
  </xdr:twoCellAnchor>
  <xdr:twoCellAnchor>
    <xdr:from>
      <xdr:col>1</xdr:col>
      <xdr:colOff>56445</xdr:colOff>
      <xdr:row>41</xdr:row>
      <xdr:rowOff>155223</xdr:rowOff>
    </xdr:from>
    <xdr:to>
      <xdr:col>16</xdr:col>
      <xdr:colOff>592667</xdr:colOff>
      <xdr:row>57</xdr:row>
      <xdr:rowOff>169335</xdr:rowOff>
    </xdr:to>
    <xdr:sp macro="" textlink="">
      <xdr:nvSpPr>
        <xdr:cNvPr id="4" name="CaixaDeTexto 1">
          <a:extLst>
            <a:ext uri="{FF2B5EF4-FFF2-40B4-BE49-F238E27FC236}">
              <a16:creationId xmlns:a16="http://schemas.microsoft.com/office/drawing/2014/main" xmlns="" id="{14B3F6E7-ABCC-4434-BED7-15D9500DDA09}"/>
            </a:ext>
          </a:extLst>
        </xdr:cNvPr>
        <xdr:cNvSpPr txBox="1"/>
      </xdr:nvSpPr>
      <xdr:spPr>
        <a:xfrm>
          <a:off x="733778" y="7761112"/>
          <a:ext cx="10696222" cy="29915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rgbClr val="FF0000"/>
              </a:solidFill>
            </a:rPr>
            <a:t>CONTATOS</a:t>
          </a:r>
        </a:p>
        <a:p>
          <a:endParaRPr lang="en-US" sz="1400"/>
        </a:p>
        <a:p>
          <a:r>
            <a:rPr lang="en-US" sz="1400" baseline="0"/>
            <a:t>Oportunidades Comerciais:</a:t>
          </a:r>
        </a:p>
        <a:p>
          <a:r>
            <a:rPr lang="en-US" sz="1400" baseline="0"/>
            <a:t>A Blue Leads é uma empresa de consultoria especializada em operações de fusões &amp; aquisições. Estamos ao seu inteiro dispor se pudermos ajudá-lo a vender ou comprar uma empresa ou contribuir para o seu sucesso de alguma forma. Para nos conhecer um pouco mais, acesse nosso site www.blueleads.com.br ou entre em contato diretamente com um de nossos sócios:</a:t>
          </a:r>
        </a:p>
        <a:p>
          <a:r>
            <a:rPr lang="en-US" sz="1400" i="1" baseline="0"/>
            <a:t>Marcio Campos: mcampos@blueleads.com.br</a:t>
          </a:r>
          <a:br>
            <a:rPr lang="en-US" sz="1400" i="1" baseline="0"/>
          </a:br>
          <a:r>
            <a:rPr lang="en-US" sz="1400" i="1" baseline="0"/>
            <a:t>Pedro Gusmão: pgusmao@blueleads.com.br</a:t>
          </a:r>
          <a:br>
            <a:rPr lang="en-US" sz="1400" i="1" baseline="0"/>
          </a:br>
          <a:r>
            <a:rPr lang="en-US" sz="1400" i="0" baseline="0"/>
            <a:t>Será um prazer conhecê-lo.</a:t>
          </a:r>
          <a:endParaRPr lang="en-US" sz="1400" i="1" baseline="0"/>
        </a:p>
        <a:p>
          <a:r>
            <a:rPr lang="en-US" sz="1400" baseline="0"/>
            <a:t> </a:t>
          </a:r>
        </a:p>
        <a:p>
          <a:r>
            <a:rPr lang="en-US" sz="1400"/>
            <a:t>Dúvidas:</a:t>
          </a:r>
        </a:p>
        <a:p>
          <a:r>
            <a:rPr lang="en-US" sz="1400"/>
            <a:t>Se você ficou com alguma dúvida em relação a este material, por favor entre em contato pelo e-mail contatos@blueleads.com.br. Ficaremos felizes em ajudá-lo!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912743</xdr:colOff>
      <xdr:row>0</xdr:row>
      <xdr:rowOff>126310</xdr:rowOff>
    </xdr:from>
    <xdr:to>
      <xdr:col>1</xdr:col>
      <xdr:colOff>2048934</xdr:colOff>
      <xdr:row>3</xdr:row>
      <xdr:rowOff>131789</xdr:rowOff>
    </xdr:to>
    <xdr:pic>
      <xdr:nvPicPr>
        <xdr:cNvPr id="2" name="Picture 1" descr="Logo_Nibo-fundobranco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8E5471E-24BC-4BF1-95F9-5D13E66A7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343" y="126310"/>
          <a:ext cx="1136191" cy="605554"/>
        </a:xfrm>
        <a:prstGeom prst="rect">
          <a:avLst/>
        </a:prstGeom>
      </xdr:spPr>
    </xdr:pic>
    <xdr:clientData/>
  </xdr:twoCellAnchor>
  <xdr:twoCellAnchor editAs="oneCell">
    <xdr:from>
      <xdr:col>1</xdr:col>
      <xdr:colOff>8283</xdr:colOff>
      <xdr:row>0</xdr:row>
      <xdr:rowOff>173936</xdr:rowOff>
    </xdr:from>
    <xdr:to>
      <xdr:col>1</xdr:col>
      <xdr:colOff>877956</xdr:colOff>
      <xdr:row>3</xdr:row>
      <xdr:rowOff>179163</xdr:rowOff>
    </xdr:to>
    <xdr:pic>
      <xdr:nvPicPr>
        <xdr:cNvPr id="3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F955AF51-0A50-4FD7-BACD-521242E38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583" y="173936"/>
          <a:ext cx="869673" cy="5767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1112768</xdr:colOff>
      <xdr:row>0</xdr:row>
      <xdr:rowOff>107260</xdr:rowOff>
    </xdr:from>
    <xdr:to>
      <xdr:col>1</xdr:col>
      <xdr:colOff>2248959</xdr:colOff>
      <xdr:row>3</xdr:row>
      <xdr:rowOff>84164</xdr:rowOff>
    </xdr:to>
    <xdr:pic>
      <xdr:nvPicPr>
        <xdr:cNvPr id="2" name="Picture 1" descr="Logo_Nibo-fundobranco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8E5471E-24BC-4BF1-95F9-5D13E66A7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107260"/>
          <a:ext cx="1136191" cy="573252"/>
        </a:xfrm>
        <a:prstGeom prst="rect">
          <a:avLst/>
        </a:prstGeom>
      </xdr:spPr>
    </xdr:pic>
    <xdr:clientData/>
  </xdr:twoCellAnchor>
  <xdr:twoCellAnchor editAs="oneCell">
    <xdr:from>
      <xdr:col>1</xdr:col>
      <xdr:colOff>8283</xdr:colOff>
      <xdr:row>0</xdr:row>
      <xdr:rowOff>173936</xdr:rowOff>
    </xdr:from>
    <xdr:to>
      <xdr:col>1</xdr:col>
      <xdr:colOff>877956</xdr:colOff>
      <xdr:row>3</xdr:row>
      <xdr:rowOff>150588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F955AF51-0A50-4FD7-BACD-521242E38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240" y="173936"/>
          <a:ext cx="869673" cy="573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1101586</xdr:colOff>
      <xdr:row>0</xdr:row>
      <xdr:rowOff>115957</xdr:rowOff>
    </xdr:from>
    <xdr:to>
      <xdr:col>1</xdr:col>
      <xdr:colOff>2237777</xdr:colOff>
      <xdr:row>3</xdr:row>
      <xdr:rowOff>92861</xdr:rowOff>
    </xdr:to>
    <xdr:pic>
      <xdr:nvPicPr>
        <xdr:cNvPr id="2" name="Picture 1" descr="Logo_Nibo-fundobranco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80BC909-6C54-4E48-9BA6-46455AC06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260" y="115957"/>
          <a:ext cx="1136191" cy="573252"/>
        </a:xfrm>
        <a:prstGeom prst="rect">
          <a:avLst/>
        </a:prstGeom>
      </xdr:spPr>
    </xdr:pic>
    <xdr:clientData/>
  </xdr:twoCellAnchor>
  <xdr:twoCellAnchor editAs="oneCell">
    <xdr:from>
      <xdr:col>0</xdr:col>
      <xdr:colOff>480392</xdr:colOff>
      <xdr:row>0</xdr:row>
      <xdr:rowOff>182217</xdr:rowOff>
    </xdr:from>
    <xdr:to>
      <xdr:col>1</xdr:col>
      <xdr:colOff>861391</xdr:colOff>
      <xdr:row>3</xdr:row>
      <xdr:rowOff>158869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E58B79DA-88D3-47F8-A9CB-95573F857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392" y="182217"/>
          <a:ext cx="869673" cy="573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1057688</xdr:colOff>
      <xdr:row>0</xdr:row>
      <xdr:rowOff>66675</xdr:rowOff>
    </xdr:from>
    <xdr:to>
      <xdr:col>1</xdr:col>
      <xdr:colOff>2193879</xdr:colOff>
      <xdr:row>3</xdr:row>
      <xdr:rowOff>39852</xdr:rowOff>
    </xdr:to>
    <xdr:pic>
      <xdr:nvPicPr>
        <xdr:cNvPr id="3" name="Picture 2" descr="Logo_Nibo-fundobranco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B883733-1F26-4F30-9AC8-57F179D80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438" y="66675"/>
          <a:ext cx="1136191" cy="573252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174348</xdr:rowOff>
    </xdr:from>
    <xdr:to>
      <xdr:col>1</xdr:col>
      <xdr:colOff>850623</xdr:colOff>
      <xdr:row>3</xdr:row>
      <xdr:rowOff>147273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C583FBE5-287F-46FE-992E-D6A534270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74348"/>
          <a:ext cx="869673" cy="57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GLOBO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L.PERF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t&#225;via%20SA%20Price%20Allocation%20v.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io%20Campos/AppData/Local/Microsoft/Windows/INetCache/Content.Outlook/X4S02YKR/MEX9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-Outras-Vend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Aula%208%20-%20Taxas%20de%20Desconto.Cbond.databas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io%20Campos/AppData/Local/Microsoft/Windows/INetCache/Content.Outlook/X4S02YKR/Users/tgaruba/AppData/Local/Microsoft/Windows/Temporary%20Internet%20Files/Content.Outlook/0DWW21W2/5000%20At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Hoja 2"/>
      <sheetName val="Hoja 3"/>
      <sheetName val="Hoja 3bis"/>
      <sheetName val="Hoja 4"/>
      <sheetName val="Hoja 5"/>
      <sheetName val="Hoja 6"/>
      <sheetName val="Hoja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AO"/>
    </sheetNames>
    <sheetDataSet>
      <sheetData sheetId="0" refreshError="1">
        <row r="3">
          <cell r="D3" t="str">
            <v xml:space="preserve"> 94/95</v>
          </cell>
          <cell r="E3" t="str">
            <v xml:space="preserve"> 95/96</v>
          </cell>
          <cell r="F3" t="str">
            <v xml:space="preserve"> 96/97</v>
          </cell>
        </row>
        <row r="4">
          <cell r="D4">
            <v>0</v>
          </cell>
          <cell r="E4">
            <v>16878000</v>
          </cell>
          <cell r="F4">
            <v>26794210</v>
          </cell>
        </row>
        <row r="6">
          <cell r="D6">
            <v>60889000</v>
          </cell>
          <cell r="E6">
            <v>43762000</v>
          </cell>
          <cell r="F6">
            <v>25230210</v>
          </cell>
        </row>
        <row r="8">
          <cell r="D8">
            <v>60889000</v>
          </cell>
          <cell r="E8">
            <v>60640000</v>
          </cell>
          <cell r="F8">
            <v>52024420</v>
          </cell>
        </row>
        <row r="11">
          <cell r="D11">
            <v>489821</v>
          </cell>
          <cell r="E11">
            <v>827780</v>
          </cell>
          <cell r="F11">
            <v>1263771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 e Indices"/>
      <sheetName val="Sensibilidade"/>
      <sheetName val="Apoio Relatório"/>
      <sheetName val="Historico e Indices AJUSTADO"/>
      <sheetName val="DRE"/>
      <sheetName val="Comparativo"/>
      <sheetName val="Balancete Batávia_2007 (3)"/>
      <sheetName val="Assumptions"/>
      <sheetName val="Dados"/>
      <sheetName val="DRE e Fluxo de Caixa"/>
      <sheetName val="Milk Producer Relationship"/>
      <sheetName val="Distributor Relationship"/>
      <sheetName val="Marca"/>
      <sheetName val="WARA"/>
      <sheetName val="Alocação"/>
      <sheetName val="Cliente - Balanço"/>
      <sheetName val=" Income Sttmnt"/>
      <sheetName val="Cliente - Resultado"/>
      <sheetName val="Cliente - Valuation"/>
      <sheetName val="S.R. Cooperativas"/>
      <sheetName val="S.R. Diretos"/>
      <sheetName val="DRE e Fluxo de Caixa 08"/>
      <sheetName val="Sensibilidade 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X95IB"/>
      <sheetName val="Assumptions"/>
      <sheetName val="Publi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ã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&amp;P"/>
    </sheetNames>
    <sheetDataSet>
      <sheetData sheetId="0">
        <row r="1">
          <cell r="A1" t="str">
            <v>Data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Respostas de Circularização"/>
      <sheetName val="Ctas a Receber -Posição e Teste"/>
      <sheetName val="Seguros"/>
      <sheetName val="Relação - LOGs e Imóveis"/>
      <sheetName val="Adiantamento a Fornecedores"/>
      <sheetName val="Geolog - Investimento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BAE6"/>
  </sheetPr>
  <dimension ref="R40:R42"/>
  <sheetViews>
    <sheetView showGridLines="0" tabSelected="1" zoomScale="90" zoomScaleNormal="90" zoomScalePageLayoutView="90" workbookViewId="0"/>
  </sheetViews>
  <sheetFormatPr defaultColWidth="8.85546875" defaultRowHeight="15" x14ac:dyDescent="0.25"/>
  <sheetData>
    <row r="40" spans="18:18" ht="18.75" x14ac:dyDescent="0.3">
      <c r="R40" s="266"/>
    </row>
    <row r="41" spans="18:18" ht="18.75" x14ac:dyDescent="0.3">
      <c r="R41" s="266"/>
    </row>
    <row r="42" spans="18:18" ht="18.75" x14ac:dyDescent="0.3">
      <c r="R42" s="266"/>
    </row>
  </sheetData>
  <pageMargins left="0.511811024" right="0.511811024" top="0.78740157499999996" bottom="0.78740157499999996" header="0.31496062000000002" footer="0.31496062000000002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P72"/>
  <sheetViews>
    <sheetView showGridLines="0" zoomScale="90" zoomScaleNormal="90" zoomScalePageLayoutView="90" workbookViewId="0"/>
  </sheetViews>
  <sheetFormatPr defaultColWidth="8.85546875" defaultRowHeight="15" x14ac:dyDescent="0.25"/>
  <cols>
    <col min="1" max="1" width="4" customWidth="1"/>
    <col min="2" max="2" width="41.42578125" customWidth="1"/>
    <col min="3" max="3" width="17.28515625" customWidth="1"/>
    <col min="11" max="11" width="10.140625" customWidth="1"/>
    <col min="12" max="12" width="10" customWidth="1"/>
  </cols>
  <sheetData>
    <row r="1" spans="1:16" ht="15.75" x14ac:dyDescent="0.25">
      <c r="A1" s="22"/>
      <c r="B1" s="22"/>
    </row>
    <row r="2" spans="1:16" ht="15.75" x14ac:dyDescent="0.25">
      <c r="A2" s="22"/>
      <c r="B2" s="22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6" ht="15.75" x14ac:dyDescent="0.25">
      <c r="A3" s="22"/>
      <c r="B3" s="22"/>
    </row>
    <row r="4" spans="1:16" ht="15.75" x14ac:dyDescent="0.25">
      <c r="A4" s="22"/>
      <c r="B4" s="22"/>
      <c r="D4" s="285"/>
      <c r="E4" s="285"/>
      <c r="F4" s="285"/>
      <c r="G4" s="285"/>
      <c r="H4" s="285"/>
      <c r="I4" s="236"/>
      <c r="J4" s="237"/>
      <c r="K4" s="285"/>
      <c r="L4" s="285"/>
      <c r="M4" s="236"/>
    </row>
    <row r="5" spans="1:16" ht="15.75" x14ac:dyDescent="0.25">
      <c r="A5" s="22"/>
      <c r="B5" s="22"/>
      <c r="D5" s="285"/>
      <c r="E5" s="285"/>
      <c r="F5" s="285"/>
      <c r="G5" s="285"/>
      <c r="H5" s="285"/>
      <c r="I5" s="236"/>
      <c r="K5" s="285"/>
      <c r="L5" s="285"/>
      <c r="M5" s="236"/>
    </row>
    <row r="6" spans="1:16" ht="21" x14ac:dyDescent="0.35">
      <c r="A6" s="22"/>
      <c r="B6" s="265" t="s">
        <v>126</v>
      </c>
    </row>
    <row r="7" spans="1:16" ht="21" x14ac:dyDescent="0.35">
      <c r="A7" s="22"/>
      <c r="B7" s="265"/>
    </row>
    <row r="8" spans="1:16" ht="15.75" x14ac:dyDescent="0.25">
      <c r="A8" s="22"/>
    </row>
    <row r="9" spans="1:16" ht="21" x14ac:dyDescent="0.35">
      <c r="A9" s="22"/>
      <c r="B9" s="257" t="s">
        <v>125</v>
      </c>
      <c r="I9" s="257" t="s">
        <v>138</v>
      </c>
    </row>
    <row r="10" spans="1:16" ht="15.75" x14ac:dyDescent="0.25">
      <c r="A10" s="22"/>
      <c r="M10" s="235"/>
    </row>
    <row r="11" spans="1:16" ht="15" customHeight="1" x14ac:dyDescent="0.25">
      <c r="B11" s="100" t="s">
        <v>120</v>
      </c>
      <c r="D11" s="70"/>
      <c r="E11" s="70"/>
      <c r="F11" s="70"/>
      <c r="G11" s="70"/>
      <c r="H11" s="260"/>
      <c r="I11" s="287" t="s">
        <v>120</v>
      </c>
      <c r="J11" s="287"/>
      <c r="K11" s="287"/>
      <c r="L11" s="287"/>
      <c r="M11" s="287"/>
      <c r="N11" s="287"/>
      <c r="O11" s="287"/>
      <c r="P11" s="287"/>
    </row>
    <row r="12" spans="1:16" ht="15.75" x14ac:dyDescent="0.25">
      <c r="B12" s="100"/>
      <c r="D12" s="233"/>
      <c r="E12" s="233"/>
      <c r="F12" s="233"/>
      <c r="G12" s="233"/>
      <c r="H12" s="233"/>
      <c r="I12" s="286">
        <f>'FDC - Empresa'!C69</f>
        <v>664955.91108723974</v>
      </c>
      <c r="J12" s="286"/>
      <c r="K12" s="286"/>
      <c r="L12" s="286"/>
      <c r="M12" s="286"/>
      <c r="N12" s="286"/>
      <c r="O12" s="286"/>
      <c r="P12" s="286"/>
    </row>
    <row r="13" spans="1:16" ht="15" customHeight="1" x14ac:dyDescent="0.25">
      <c r="B13" s="224"/>
      <c r="C13" s="70"/>
      <c r="H13" s="233"/>
      <c r="I13" s="282"/>
      <c r="J13" s="282"/>
      <c r="K13" s="282"/>
      <c r="L13" s="282"/>
      <c r="M13" s="282"/>
      <c r="N13" s="282"/>
      <c r="O13" s="282"/>
      <c r="P13" s="282"/>
    </row>
    <row r="14" spans="1:16" ht="15" customHeight="1" x14ac:dyDescent="0.25">
      <c r="B14" s="238" t="s">
        <v>108</v>
      </c>
      <c r="C14" s="239"/>
      <c r="H14" s="233"/>
      <c r="I14" s="282"/>
      <c r="J14" s="282"/>
      <c r="K14" s="282"/>
      <c r="L14" s="282"/>
      <c r="M14" s="282"/>
      <c r="N14" s="282"/>
      <c r="O14" s="282"/>
      <c r="P14" s="282"/>
    </row>
    <row r="15" spans="1:16" ht="15.75" x14ac:dyDescent="0.25">
      <c r="B15" s="122" t="s">
        <v>113</v>
      </c>
      <c r="C15" s="259">
        <v>100</v>
      </c>
      <c r="M15" s="235"/>
    </row>
    <row r="16" spans="1:16" ht="15.75" x14ac:dyDescent="0.25">
      <c r="B16" s="122" t="s">
        <v>114</v>
      </c>
      <c r="C16" s="277">
        <v>980</v>
      </c>
      <c r="D16" s="70"/>
      <c r="E16" s="70"/>
      <c r="F16" s="70"/>
      <c r="G16" s="70"/>
      <c r="H16" s="225"/>
      <c r="I16" s="288" t="s">
        <v>121</v>
      </c>
      <c r="J16" s="288"/>
      <c r="K16" s="288"/>
      <c r="L16" s="288"/>
      <c r="M16" s="288"/>
      <c r="N16" s="288"/>
      <c r="O16" s="288"/>
      <c r="P16" s="288"/>
    </row>
    <row r="17" spans="2:16" ht="15" customHeight="1" x14ac:dyDescent="0.25">
      <c r="B17" s="274" t="s">
        <v>116</v>
      </c>
      <c r="C17" s="263">
        <v>0.02</v>
      </c>
      <c r="D17" s="233"/>
      <c r="E17" s="233"/>
      <c r="F17" s="233"/>
      <c r="G17" s="233"/>
      <c r="H17" s="233"/>
      <c r="I17" s="286">
        <f>'FDC - Carteira'!C44</f>
        <v>349644.36298432987</v>
      </c>
      <c r="J17" s="286"/>
      <c r="K17" s="286"/>
      <c r="L17" s="286"/>
      <c r="M17" s="286"/>
      <c r="N17" s="286"/>
      <c r="O17" s="286"/>
      <c r="P17" s="286"/>
    </row>
    <row r="18" spans="2:16" ht="15.75" customHeight="1" x14ac:dyDescent="0.25">
      <c r="B18" s="224"/>
      <c r="C18" s="70"/>
      <c r="D18" s="233"/>
      <c r="E18" s="233"/>
      <c r="F18" s="233"/>
      <c r="G18" s="233"/>
      <c r="H18" s="233"/>
      <c r="I18" s="282"/>
      <c r="J18" s="282"/>
      <c r="K18" s="282"/>
      <c r="L18" s="282"/>
      <c r="M18" s="282"/>
      <c r="N18" s="282"/>
      <c r="O18" s="282"/>
      <c r="P18" s="282"/>
    </row>
    <row r="19" spans="2:16" ht="15" customHeight="1" x14ac:dyDescent="0.25">
      <c r="B19" s="238" t="s">
        <v>109</v>
      </c>
      <c r="C19" s="239"/>
      <c r="D19" s="233"/>
      <c r="E19" s="233"/>
      <c r="F19" s="233"/>
      <c r="G19" s="233"/>
      <c r="H19" s="233"/>
      <c r="I19" s="282"/>
      <c r="J19" s="282"/>
      <c r="K19" s="282"/>
      <c r="L19" s="282"/>
      <c r="M19" s="282"/>
      <c r="N19" s="282"/>
      <c r="O19" s="282"/>
      <c r="P19" s="282"/>
    </row>
    <row r="20" spans="2:16" ht="15.75" x14ac:dyDescent="0.25">
      <c r="B20" s="122" t="s">
        <v>59</v>
      </c>
      <c r="C20" s="255">
        <v>1.6500000000000001E-2</v>
      </c>
      <c r="D20" s="233"/>
      <c r="E20" s="233"/>
      <c r="F20" s="233"/>
      <c r="G20" s="233"/>
      <c r="H20" s="233"/>
      <c r="I20" s="276"/>
      <c r="J20" s="235"/>
      <c r="K20" s="235"/>
      <c r="L20" s="235"/>
    </row>
    <row r="21" spans="2:16" ht="15.75" x14ac:dyDescent="0.25">
      <c r="B21" s="122" t="s">
        <v>60</v>
      </c>
      <c r="C21" s="255">
        <v>7.5999999999999998E-2</v>
      </c>
      <c r="D21" s="235"/>
      <c r="E21" s="235"/>
      <c r="F21" s="235"/>
      <c r="G21" s="235"/>
      <c r="H21" s="235"/>
      <c r="I21" s="288" t="s">
        <v>139</v>
      </c>
      <c r="J21" s="288"/>
      <c r="K21" s="288"/>
      <c r="L21" s="288"/>
      <c r="M21" s="288"/>
      <c r="N21" s="288"/>
      <c r="O21" s="288"/>
      <c r="P21" s="288"/>
    </row>
    <row r="22" spans="2:16" ht="15.75" x14ac:dyDescent="0.25">
      <c r="B22" s="122" t="s">
        <v>61</v>
      </c>
      <c r="C22" s="255">
        <v>0.05</v>
      </c>
      <c r="D22" s="235"/>
      <c r="E22" s="235"/>
      <c r="F22" s="235"/>
      <c r="G22" s="235"/>
      <c r="H22" s="235"/>
      <c r="I22" s="289" t="s">
        <v>118</v>
      </c>
      <c r="J22" s="289"/>
      <c r="K22" s="289"/>
      <c r="L22" s="290"/>
      <c r="M22" s="291" t="s">
        <v>135</v>
      </c>
      <c r="N22" s="289"/>
      <c r="O22" s="289"/>
      <c r="P22" s="289"/>
    </row>
    <row r="23" spans="2:16" ht="15.75" x14ac:dyDescent="0.25">
      <c r="B23" s="240" t="s">
        <v>110</v>
      </c>
      <c r="C23" s="256">
        <v>0.34</v>
      </c>
      <c r="D23" s="235"/>
      <c r="E23" s="235"/>
      <c r="F23" s="235"/>
      <c r="G23" s="235"/>
      <c r="H23" s="235"/>
      <c r="I23" s="282">
        <f>'Multiplo Empresa - Carteira'!C17</f>
        <v>367794.00000000006</v>
      </c>
      <c r="J23" s="282"/>
      <c r="K23" s="282"/>
      <c r="L23" s="282"/>
      <c r="M23" s="283">
        <f>'Multiplo Empresa - Carteira'!F17</f>
        <v>732942</v>
      </c>
      <c r="N23" s="282"/>
      <c r="O23" s="282"/>
      <c r="P23" s="282"/>
    </row>
    <row r="24" spans="2:16" ht="15.75" x14ac:dyDescent="0.25">
      <c r="D24" s="235"/>
      <c r="E24" s="235"/>
      <c r="F24" s="235"/>
      <c r="G24" s="235"/>
      <c r="H24" s="251"/>
      <c r="I24" s="282"/>
      <c r="J24" s="282"/>
      <c r="K24" s="282"/>
      <c r="L24" s="282"/>
      <c r="M24" s="283"/>
      <c r="N24" s="282"/>
      <c r="O24" s="282"/>
      <c r="P24" s="282"/>
    </row>
    <row r="25" spans="2:16" ht="15.75" x14ac:dyDescent="0.25">
      <c r="B25" s="238" t="s">
        <v>117</v>
      </c>
      <c r="C25" s="239"/>
      <c r="D25" s="235"/>
      <c r="E25" s="235"/>
      <c r="F25" s="235"/>
      <c r="G25" s="235"/>
      <c r="H25" s="251"/>
    </row>
    <row r="26" spans="2:16" ht="15.75" x14ac:dyDescent="0.25">
      <c r="B26" s="125" t="s">
        <v>22</v>
      </c>
      <c r="C26" s="250">
        <v>0.55000000000000004</v>
      </c>
      <c r="D26" s="235"/>
      <c r="E26" s="235"/>
      <c r="F26" s="235"/>
      <c r="G26" s="235"/>
      <c r="H26" s="251"/>
    </row>
    <row r="27" spans="2:16" ht="15.75" x14ac:dyDescent="0.25">
      <c r="B27" s="125" t="s">
        <v>24</v>
      </c>
      <c r="C27" s="250">
        <v>0.05</v>
      </c>
      <c r="D27" s="235"/>
      <c r="E27" s="235"/>
      <c r="F27" s="235"/>
      <c r="G27" s="235"/>
      <c r="H27" s="251"/>
      <c r="I27" s="276"/>
      <c r="J27" s="276"/>
      <c r="K27" s="276"/>
      <c r="L27" s="276"/>
      <c r="M27" s="235"/>
    </row>
    <row r="28" spans="2:16" ht="15.75" x14ac:dyDescent="0.25">
      <c r="B28" s="125" t="s">
        <v>23</v>
      </c>
      <c r="C28" s="250">
        <v>0.1</v>
      </c>
      <c r="D28" s="235"/>
      <c r="E28" s="235"/>
      <c r="F28" s="235"/>
      <c r="G28" s="235"/>
      <c r="H28" s="251"/>
      <c r="I28" s="276"/>
      <c r="J28" s="276"/>
      <c r="K28" s="276"/>
      <c r="L28" s="276"/>
      <c r="M28" s="235"/>
    </row>
    <row r="29" spans="2:16" ht="15.75" x14ac:dyDescent="0.25">
      <c r="B29" s="126" t="s">
        <v>25</v>
      </c>
      <c r="C29" s="250">
        <v>0</v>
      </c>
      <c r="D29" s="235"/>
      <c r="E29" s="235"/>
      <c r="F29" s="235"/>
      <c r="G29" s="235"/>
      <c r="H29" s="251"/>
      <c r="M29" s="235"/>
    </row>
    <row r="30" spans="2:16" ht="15.75" x14ac:dyDescent="0.25">
      <c r="B30" s="126" t="s">
        <v>26</v>
      </c>
      <c r="C30" s="250">
        <v>0</v>
      </c>
      <c r="D30" s="235"/>
      <c r="E30" s="235"/>
      <c r="F30" s="235"/>
      <c r="G30" s="235"/>
      <c r="H30" s="252"/>
      <c r="M30" s="235"/>
    </row>
    <row r="31" spans="2:16" ht="15.75" x14ac:dyDescent="0.25">
      <c r="B31" s="126" t="s">
        <v>27</v>
      </c>
      <c r="C31" s="250">
        <v>0</v>
      </c>
      <c r="D31" s="235"/>
      <c r="E31" s="235"/>
      <c r="F31" s="235"/>
      <c r="G31" s="235"/>
      <c r="H31" s="235"/>
      <c r="M31" s="235"/>
    </row>
    <row r="32" spans="2:16" ht="15.75" x14ac:dyDescent="0.25">
      <c r="B32" s="253" t="s">
        <v>115</v>
      </c>
      <c r="C32" s="254">
        <f>'FDC - Empresa'!D51</f>
        <v>0.10394982993197278</v>
      </c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</row>
    <row r="33" spans="2:15" ht="15.75" x14ac:dyDescent="0.25">
      <c r="B33" s="233"/>
      <c r="C33" s="233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25"/>
      <c r="O33" s="235"/>
    </row>
    <row r="34" spans="2:15" x14ac:dyDescent="0.25">
      <c r="B34" s="238" t="s">
        <v>111</v>
      </c>
      <c r="C34" s="239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</row>
    <row r="35" spans="2:15" ht="15.75" x14ac:dyDescent="0.25">
      <c r="B35" s="241" t="s">
        <v>71</v>
      </c>
      <c r="C35" s="250">
        <v>0.02</v>
      </c>
      <c r="D35" s="235"/>
      <c r="E35" s="235"/>
      <c r="F35" s="235"/>
      <c r="G35" s="235"/>
      <c r="H35" s="262"/>
      <c r="I35" s="262"/>
      <c r="J35" s="262"/>
      <c r="K35" s="262"/>
      <c r="L35" s="235"/>
      <c r="M35" s="235"/>
    </row>
    <row r="36" spans="2:15" ht="15.75" x14ac:dyDescent="0.25">
      <c r="B36" s="241" t="s">
        <v>73</v>
      </c>
      <c r="C36" s="250">
        <v>0.2</v>
      </c>
      <c r="D36" s="235"/>
      <c r="E36" s="235"/>
      <c r="F36" s="235"/>
      <c r="G36" s="235"/>
      <c r="H36" s="262"/>
      <c r="I36" s="262"/>
      <c r="J36" s="262"/>
      <c r="K36" s="262"/>
      <c r="L36" s="235"/>
      <c r="M36" s="235"/>
    </row>
    <row r="37" spans="2:15" ht="15.75" x14ac:dyDescent="0.25">
      <c r="B37" s="122" t="s">
        <v>128</v>
      </c>
      <c r="C37" s="258">
        <v>0</v>
      </c>
      <c r="D37" s="235"/>
      <c r="E37" s="235"/>
      <c r="F37" s="235"/>
      <c r="G37" s="235"/>
      <c r="H37" s="235"/>
      <c r="I37" s="235"/>
      <c r="J37" s="235"/>
      <c r="K37" s="235"/>
      <c r="L37" s="235"/>
      <c r="M37" s="235"/>
    </row>
    <row r="38" spans="2:15" ht="15.75" x14ac:dyDescent="0.25">
      <c r="B38" s="240" t="s">
        <v>127</v>
      </c>
      <c r="C38" s="264">
        <v>0</v>
      </c>
    </row>
    <row r="39" spans="2:15" x14ac:dyDescent="0.25">
      <c r="B39" s="233"/>
      <c r="C39" s="233"/>
    </row>
    <row r="40" spans="2:15" x14ac:dyDescent="0.25">
      <c r="B40" s="238" t="s">
        <v>136</v>
      </c>
      <c r="C40" s="239"/>
    </row>
    <row r="41" spans="2:15" ht="15.75" x14ac:dyDescent="0.25">
      <c r="B41" s="240" t="s">
        <v>75</v>
      </c>
      <c r="C41" s="264">
        <v>0</v>
      </c>
    </row>
    <row r="42" spans="2:15" ht="15.75" x14ac:dyDescent="0.25">
      <c r="B42" s="100"/>
    </row>
    <row r="43" spans="2:15" ht="15.75" x14ac:dyDescent="0.25">
      <c r="B43" s="100" t="s">
        <v>121</v>
      </c>
      <c r="H43" s="233"/>
      <c r="I43" s="233"/>
      <c r="J43" s="233"/>
      <c r="K43" s="233"/>
      <c r="L43" s="233"/>
      <c r="M43" s="233"/>
    </row>
    <row r="44" spans="2:15" x14ac:dyDescent="0.25">
      <c r="H44" s="233"/>
      <c r="I44" s="233"/>
      <c r="J44" s="233"/>
      <c r="K44" s="233"/>
      <c r="L44" s="233"/>
      <c r="M44" s="233"/>
    </row>
    <row r="45" spans="2:15" x14ac:dyDescent="0.25">
      <c r="B45" s="238" t="s">
        <v>118</v>
      </c>
      <c r="C45" s="239"/>
      <c r="D45" s="233"/>
      <c r="E45" s="233"/>
      <c r="F45" s="233"/>
      <c r="G45" s="233"/>
      <c r="H45" s="233"/>
      <c r="I45" s="233"/>
      <c r="J45" s="233"/>
      <c r="K45" s="233"/>
      <c r="L45" s="233"/>
    </row>
    <row r="46" spans="2:15" ht="15.75" x14ac:dyDescent="0.25">
      <c r="B46" s="242" t="s">
        <v>119</v>
      </c>
      <c r="C46" s="249">
        <v>-0.1</v>
      </c>
    </row>
    <row r="47" spans="2:15" ht="15.75" x14ac:dyDescent="0.25">
      <c r="B47" s="101"/>
      <c r="C47" s="261"/>
    </row>
    <row r="48" spans="2:15" x14ac:dyDescent="0.25">
      <c r="B48" s="238" t="s">
        <v>136</v>
      </c>
      <c r="C48" s="239"/>
    </row>
    <row r="49" spans="2:3" ht="15.75" x14ac:dyDescent="0.25">
      <c r="B49" s="240" t="s">
        <v>75</v>
      </c>
      <c r="C49" s="264">
        <v>0</v>
      </c>
    </row>
    <row r="52" spans="2:3" ht="15.75" x14ac:dyDescent="0.25">
      <c r="B52" s="100" t="s">
        <v>137</v>
      </c>
    </row>
    <row r="54" spans="2:3" s="1" customFormat="1" ht="30.75" customHeight="1" x14ac:dyDescent="0.25">
      <c r="B54" s="279" t="s">
        <v>98</v>
      </c>
      <c r="C54" s="280" t="s">
        <v>100</v>
      </c>
    </row>
    <row r="55" spans="2:3" s="1" customFormat="1" ht="15.75" x14ac:dyDescent="0.25">
      <c r="B55" s="217" t="s">
        <v>42</v>
      </c>
      <c r="C55" s="278">
        <v>2</v>
      </c>
    </row>
    <row r="56" spans="2:3" s="1" customFormat="1" ht="15.75" x14ac:dyDescent="0.25">
      <c r="B56" s="217" t="s">
        <v>43</v>
      </c>
      <c r="C56" s="278">
        <v>1.5</v>
      </c>
    </row>
    <row r="57" spans="2:3" s="1" customFormat="1" ht="15.75" x14ac:dyDescent="0.25">
      <c r="B57" s="217" t="s">
        <v>44</v>
      </c>
      <c r="C57" s="278">
        <v>1.8</v>
      </c>
    </row>
    <row r="58" spans="2:3" s="1" customFormat="1" ht="15.75" x14ac:dyDescent="0.25">
      <c r="B58" s="217" t="s">
        <v>45</v>
      </c>
      <c r="C58" s="278">
        <v>2</v>
      </c>
    </row>
    <row r="59" spans="2:3" s="1" customFormat="1" ht="15.75" x14ac:dyDescent="0.25">
      <c r="B59" s="217" t="s">
        <v>46</v>
      </c>
      <c r="C59" s="278">
        <v>3</v>
      </c>
    </row>
    <row r="60" spans="2:3" s="1" customFormat="1" ht="15.75" x14ac:dyDescent="0.25">
      <c r="B60" s="217" t="s">
        <v>47</v>
      </c>
      <c r="C60" s="278">
        <v>1.4</v>
      </c>
    </row>
    <row r="61" spans="2:3" s="1" customFormat="1" ht="15.75" x14ac:dyDescent="0.25">
      <c r="B61" s="217" t="s">
        <v>48</v>
      </c>
      <c r="C61" s="278">
        <v>2.2000000000000002</v>
      </c>
    </row>
    <row r="62" spans="2:3" s="1" customFormat="1" ht="15.75" x14ac:dyDescent="0.25">
      <c r="B62" s="218" t="s">
        <v>49</v>
      </c>
      <c r="C62" s="281">
        <f>AVERAGE(C55:C61)</f>
        <v>1.985714285714286</v>
      </c>
    </row>
    <row r="64" spans="2:3" ht="15.75" x14ac:dyDescent="0.25">
      <c r="B64" s="279" t="s">
        <v>98</v>
      </c>
      <c r="C64" s="280" t="s">
        <v>99</v>
      </c>
    </row>
    <row r="65" spans="2:3" ht="15.75" x14ac:dyDescent="0.25">
      <c r="B65" s="217" t="s">
        <v>42</v>
      </c>
      <c r="C65" s="278">
        <v>4</v>
      </c>
    </row>
    <row r="66" spans="2:3" ht="15.75" x14ac:dyDescent="0.25">
      <c r="B66" s="217" t="s">
        <v>43</v>
      </c>
      <c r="C66" s="278">
        <v>3.5</v>
      </c>
    </row>
    <row r="67" spans="2:3" ht="15.75" x14ac:dyDescent="0.25">
      <c r="B67" s="217" t="s">
        <v>44</v>
      </c>
      <c r="C67" s="278">
        <v>3.8</v>
      </c>
    </row>
    <row r="68" spans="2:3" ht="15.75" x14ac:dyDescent="0.25">
      <c r="B68" s="217" t="s">
        <v>45</v>
      </c>
      <c r="C68" s="278">
        <v>4</v>
      </c>
    </row>
    <row r="69" spans="2:3" ht="15.75" x14ac:dyDescent="0.25">
      <c r="B69" s="217" t="s">
        <v>46</v>
      </c>
      <c r="C69" s="278">
        <v>5</v>
      </c>
    </row>
    <row r="70" spans="2:3" ht="15.75" x14ac:dyDescent="0.25">
      <c r="B70" s="217" t="s">
        <v>47</v>
      </c>
      <c r="C70" s="278">
        <v>3.4</v>
      </c>
    </row>
    <row r="71" spans="2:3" ht="15.75" x14ac:dyDescent="0.25">
      <c r="B71" s="217" t="s">
        <v>48</v>
      </c>
      <c r="C71" s="278">
        <v>4</v>
      </c>
    </row>
    <row r="72" spans="2:3" ht="15.75" x14ac:dyDescent="0.25">
      <c r="B72" s="218" t="s">
        <v>49</v>
      </c>
      <c r="C72" s="281">
        <f>AVERAGE(C65:C71)</f>
        <v>3.9571428571428569</v>
      </c>
    </row>
  </sheetData>
  <sheetProtection algorithmName="SHA-512" hashValue="QS0a3OTK8yGAvjyH0/pG/1c0QPEiDTEMHqUZWJpEUzz08GTCoAnaTU8y3KE6k5VUsOZkZNtJv2EObTT+G3WrYQ==" saltValue="0eCu7HHylHTq+RK6AvGGZg==" spinCount="100000" sheet="1" objects="1" scenarios="1"/>
  <mergeCells count="14">
    <mergeCell ref="I23:L24"/>
    <mergeCell ref="M23:P24"/>
    <mergeCell ref="D2:M2"/>
    <mergeCell ref="D4:H4"/>
    <mergeCell ref="D5:H5"/>
    <mergeCell ref="K4:L4"/>
    <mergeCell ref="K5:L5"/>
    <mergeCell ref="I17:P19"/>
    <mergeCell ref="I12:P14"/>
    <mergeCell ref="I11:P11"/>
    <mergeCell ref="I16:P16"/>
    <mergeCell ref="I21:P21"/>
    <mergeCell ref="I22:L22"/>
    <mergeCell ref="M22:P22"/>
  </mergeCells>
  <conditionalFormatting sqref="H35:K36">
    <cfRule type="cellIs" dxfId="17" priority="6" stopIfTrue="1" operator="lessThan">
      <formula>0</formula>
    </cfRule>
  </conditionalFormatting>
  <conditionalFormatting sqref="B54:C54">
    <cfRule type="cellIs" dxfId="16" priority="3" stopIfTrue="1" operator="lessThan">
      <formula>0</formula>
    </cfRule>
  </conditionalFormatting>
  <conditionalFormatting sqref="B64:C64">
    <cfRule type="cellIs" dxfId="15" priority="1" stopIfTrue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Plan4">
    <tabColor theme="0" tint="-0.499984740745262"/>
  </sheetPr>
  <dimension ref="A1:BW91"/>
  <sheetViews>
    <sheetView showGridLines="0" zoomScale="90" zoomScaleNormal="90" zoomScalePageLayoutView="90" workbookViewId="0"/>
  </sheetViews>
  <sheetFormatPr defaultColWidth="12.7109375" defaultRowHeight="15.75" x14ac:dyDescent="0.25"/>
  <cols>
    <col min="1" max="1" width="7.42578125" style="25" customWidth="1"/>
    <col min="2" max="2" width="57.85546875" style="25" customWidth="1"/>
    <col min="3" max="3" width="13.28515625" style="25" bestFit="1" customWidth="1"/>
    <col min="4" max="4" width="13.140625" style="25" bestFit="1" customWidth="1"/>
    <col min="5" max="5" width="14.42578125" style="25" bestFit="1" customWidth="1"/>
    <col min="6" max="9" width="13" style="25" bestFit="1" customWidth="1"/>
    <col min="10" max="14" width="13" style="25" customWidth="1"/>
    <col min="15" max="15" width="5.85546875" style="27" bestFit="1" customWidth="1"/>
    <col min="16" max="16" width="33" style="25" customWidth="1"/>
    <col min="17" max="17" width="8.42578125" style="25" bestFit="1" customWidth="1"/>
    <col min="18" max="18" width="6.42578125" style="25" bestFit="1" customWidth="1"/>
    <col min="19" max="19" width="9.42578125" style="25" bestFit="1" customWidth="1"/>
    <col min="20" max="22" width="7.42578125" style="25" bestFit="1" customWidth="1"/>
    <col min="23" max="23" width="8.42578125" style="25" bestFit="1" customWidth="1"/>
    <col min="24" max="24" width="7.42578125" style="25" bestFit="1" customWidth="1"/>
    <col min="25" max="25" width="11" style="25" bestFit="1" customWidth="1"/>
    <col min="26" max="27" width="1.85546875" style="25" customWidth="1"/>
    <col min="28" max="253" width="12.7109375" style="25"/>
    <col min="254" max="254" width="1.85546875" style="25" customWidth="1"/>
    <col min="255" max="255" width="2.28515625" style="25" customWidth="1"/>
    <col min="256" max="256" width="4.28515625" style="25" customWidth="1"/>
    <col min="257" max="257" width="38.7109375" style="25" customWidth="1"/>
    <col min="258" max="258" width="6.28515625" style="25" customWidth="1"/>
    <col min="259" max="259" width="12.42578125" style="25" customWidth="1"/>
    <col min="260" max="260" width="16.28515625" style="25" customWidth="1"/>
    <col min="261" max="261" width="12.7109375" style="25" bestFit="1" customWidth="1"/>
    <col min="262" max="262" width="12.42578125" style="25" bestFit="1" customWidth="1"/>
    <col min="263" max="263" width="12.7109375" style="25" bestFit="1" customWidth="1"/>
    <col min="264" max="269" width="0" style="25" hidden="1" customWidth="1"/>
    <col min="270" max="270" width="1.85546875" style="25" customWidth="1"/>
    <col min="271" max="271" width="11" style="25" customWidth="1"/>
    <col min="272" max="272" width="1.85546875" style="25" customWidth="1"/>
    <col min="273" max="281" width="11" style="25" customWidth="1"/>
    <col min="282" max="283" width="1.85546875" style="25" customWidth="1"/>
    <col min="284" max="509" width="12.7109375" style="25"/>
    <col min="510" max="510" width="1.85546875" style="25" customWidth="1"/>
    <col min="511" max="511" width="2.28515625" style="25" customWidth="1"/>
    <col min="512" max="512" width="4.28515625" style="25" customWidth="1"/>
    <col min="513" max="513" width="38.7109375" style="25" customWidth="1"/>
    <col min="514" max="514" width="6.28515625" style="25" customWidth="1"/>
    <col min="515" max="515" width="12.42578125" style="25" customWidth="1"/>
    <col min="516" max="516" width="16.28515625" style="25" customWidth="1"/>
    <col min="517" max="517" width="12.7109375" style="25" bestFit="1" customWidth="1"/>
    <col min="518" max="518" width="12.42578125" style="25" bestFit="1" customWidth="1"/>
    <col min="519" max="519" width="12.7109375" style="25" bestFit="1" customWidth="1"/>
    <col min="520" max="525" width="0" style="25" hidden="1" customWidth="1"/>
    <col min="526" max="526" width="1.85546875" style="25" customWidth="1"/>
    <col min="527" max="527" width="11" style="25" customWidth="1"/>
    <col min="528" max="528" width="1.85546875" style="25" customWidth="1"/>
    <col min="529" max="537" width="11" style="25" customWidth="1"/>
    <col min="538" max="539" width="1.85546875" style="25" customWidth="1"/>
    <col min="540" max="765" width="12.7109375" style="25"/>
    <col min="766" max="766" width="1.85546875" style="25" customWidth="1"/>
    <col min="767" max="767" width="2.28515625" style="25" customWidth="1"/>
    <col min="768" max="768" width="4.28515625" style="25" customWidth="1"/>
    <col min="769" max="769" width="38.7109375" style="25" customWidth="1"/>
    <col min="770" max="770" width="6.28515625" style="25" customWidth="1"/>
    <col min="771" max="771" width="12.42578125" style="25" customWidth="1"/>
    <col min="772" max="772" width="16.28515625" style="25" customWidth="1"/>
    <col min="773" max="773" width="12.7109375" style="25" bestFit="1" customWidth="1"/>
    <col min="774" max="774" width="12.42578125" style="25" bestFit="1" customWidth="1"/>
    <col min="775" max="775" width="12.7109375" style="25" bestFit="1" customWidth="1"/>
    <col min="776" max="781" width="0" style="25" hidden="1" customWidth="1"/>
    <col min="782" max="782" width="1.85546875" style="25" customWidth="1"/>
    <col min="783" max="783" width="11" style="25" customWidth="1"/>
    <col min="784" max="784" width="1.85546875" style="25" customWidth="1"/>
    <col min="785" max="793" width="11" style="25" customWidth="1"/>
    <col min="794" max="795" width="1.85546875" style="25" customWidth="1"/>
    <col min="796" max="1021" width="12.7109375" style="25"/>
    <col min="1022" max="1022" width="1.85546875" style="25" customWidth="1"/>
    <col min="1023" max="1023" width="2.28515625" style="25" customWidth="1"/>
    <col min="1024" max="1024" width="4.28515625" style="25" customWidth="1"/>
    <col min="1025" max="1025" width="38.7109375" style="25" customWidth="1"/>
    <col min="1026" max="1026" width="6.28515625" style="25" customWidth="1"/>
    <col min="1027" max="1027" width="12.42578125" style="25" customWidth="1"/>
    <col min="1028" max="1028" width="16.28515625" style="25" customWidth="1"/>
    <col min="1029" max="1029" width="12.7109375" style="25" bestFit="1" customWidth="1"/>
    <col min="1030" max="1030" width="12.42578125" style="25" bestFit="1" customWidth="1"/>
    <col min="1031" max="1031" width="12.7109375" style="25" bestFit="1" customWidth="1"/>
    <col min="1032" max="1037" width="0" style="25" hidden="1" customWidth="1"/>
    <col min="1038" max="1038" width="1.85546875" style="25" customWidth="1"/>
    <col min="1039" max="1039" width="11" style="25" customWidth="1"/>
    <col min="1040" max="1040" width="1.85546875" style="25" customWidth="1"/>
    <col min="1041" max="1049" width="11" style="25" customWidth="1"/>
    <col min="1050" max="1051" width="1.85546875" style="25" customWidth="1"/>
    <col min="1052" max="1277" width="12.7109375" style="25"/>
    <col min="1278" max="1278" width="1.85546875" style="25" customWidth="1"/>
    <col min="1279" max="1279" width="2.28515625" style="25" customWidth="1"/>
    <col min="1280" max="1280" width="4.28515625" style="25" customWidth="1"/>
    <col min="1281" max="1281" width="38.7109375" style="25" customWidth="1"/>
    <col min="1282" max="1282" width="6.28515625" style="25" customWidth="1"/>
    <col min="1283" max="1283" width="12.42578125" style="25" customWidth="1"/>
    <col min="1284" max="1284" width="16.28515625" style="25" customWidth="1"/>
    <col min="1285" max="1285" width="12.7109375" style="25" bestFit="1" customWidth="1"/>
    <col min="1286" max="1286" width="12.42578125" style="25" bestFit="1" customWidth="1"/>
    <col min="1287" max="1287" width="12.7109375" style="25" bestFit="1" customWidth="1"/>
    <col min="1288" max="1293" width="0" style="25" hidden="1" customWidth="1"/>
    <col min="1294" max="1294" width="1.85546875" style="25" customWidth="1"/>
    <col min="1295" max="1295" width="11" style="25" customWidth="1"/>
    <col min="1296" max="1296" width="1.85546875" style="25" customWidth="1"/>
    <col min="1297" max="1305" width="11" style="25" customWidth="1"/>
    <col min="1306" max="1307" width="1.85546875" style="25" customWidth="1"/>
    <col min="1308" max="1533" width="12.7109375" style="25"/>
    <col min="1534" max="1534" width="1.85546875" style="25" customWidth="1"/>
    <col min="1535" max="1535" width="2.28515625" style="25" customWidth="1"/>
    <col min="1536" max="1536" width="4.28515625" style="25" customWidth="1"/>
    <col min="1537" max="1537" width="38.7109375" style="25" customWidth="1"/>
    <col min="1538" max="1538" width="6.28515625" style="25" customWidth="1"/>
    <col min="1539" max="1539" width="12.42578125" style="25" customWidth="1"/>
    <col min="1540" max="1540" width="16.28515625" style="25" customWidth="1"/>
    <col min="1541" max="1541" width="12.7109375" style="25" bestFit="1" customWidth="1"/>
    <col min="1542" max="1542" width="12.42578125" style="25" bestFit="1" customWidth="1"/>
    <col min="1543" max="1543" width="12.7109375" style="25" bestFit="1" customWidth="1"/>
    <col min="1544" max="1549" width="0" style="25" hidden="1" customWidth="1"/>
    <col min="1550" max="1550" width="1.85546875" style="25" customWidth="1"/>
    <col min="1551" max="1551" width="11" style="25" customWidth="1"/>
    <col min="1552" max="1552" width="1.85546875" style="25" customWidth="1"/>
    <col min="1553" max="1561" width="11" style="25" customWidth="1"/>
    <col min="1562" max="1563" width="1.85546875" style="25" customWidth="1"/>
    <col min="1564" max="1789" width="12.7109375" style="25"/>
    <col min="1790" max="1790" width="1.85546875" style="25" customWidth="1"/>
    <col min="1791" max="1791" width="2.28515625" style="25" customWidth="1"/>
    <col min="1792" max="1792" width="4.28515625" style="25" customWidth="1"/>
    <col min="1793" max="1793" width="38.7109375" style="25" customWidth="1"/>
    <col min="1794" max="1794" width="6.28515625" style="25" customWidth="1"/>
    <col min="1795" max="1795" width="12.42578125" style="25" customWidth="1"/>
    <col min="1796" max="1796" width="16.28515625" style="25" customWidth="1"/>
    <col min="1797" max="1797" width="12.7109375" style="25" bestFit="1" customWidth="1"/>
    <col min="1798" max="1798" width="12.42578125" style="25" bestFit="1" customWidth="1"/>
    <col min="1799" max="1799" width="12.7109375" style="25" bestFit="1" customWidth="1"/>
    <col min="1800" max="1805" width="0" style="25" hidden="1" customWidth="1"/>
    <col min="1806" max="1806" width="1.85546875" style="25" customWidth="1"/>
    <col min="1807" max="1807" width="11" style="25" customWidth="1"/>
    <col min="1808" max="1808" width="1.85546875" style="25" customWidth="1"/>
    <col min="1809" max="1817" width="11" style="25" customWidth="1"/>
    <col min="1818" max="1819" width="1.85546875" style="25" customWidth="1"/>
    <col min="1820" max="2045" width="12.7109375" style="25"/>
    <col min="2046" max="2046" width="1.85546875" style="25" customWidth="1"/>
    <col min="2047" max="2047" width="2.28515625" style="25" customWidth="1"/>
    <col min="2048" max="2048" width="4.28515625" style="25" customWidth="1"/>
    <col min="2049" max="2049" width="38.7109375" style="25" customWidth="1"/>
    <col min="2050" max="2050" width="6.28515625" style="25" customWidth="1"/>
    <col min="2051" max="2051" width="12.42578125" style="25" customWidth="1"/>
    <col min="2052" max="2052" width="16.28515625" style="25" customWidth="1"/>
    <col min="2053" max="2053" width="12.7109375" style="25" bestFit="1" customWidth="1"/>
    <col min="2054" max="2054" width="12.42578125" style="25" bestFit="1" customWidth="1"/>
    <col min="2055" max="2055" width="12.7109375" style="25" bestFit="1" customWidth="1"/>
    <col min="2056" max="2061" width="0" style="25" hidden="1" customWidth="1"/>
    <col min="2062" max="2062" width="1.85546875" style="25" customWidth="1"/>
    <col min="2063" max="2063" width="11" style="25" customWidth="1"/>
    <col min="2064" max="2064" width="1.85546875" style="25" customWidth="1"/>
    <col min="2065" max="2073" width="11" style="25" customWidth="1"/>
    <col min="2074" max="2075" width="1.85546875" style="25" customWidth="1"/>
    <col min="2076" max="2301" width="12.7109375" style="25"/>
    <col min="2302" max="2302" width="1.85546875" style="25" customWidth="1"/>
    <col min="2303" max="2303" width="2.28515625" style="25" customWidth="1"/>
    <col min="2304" max="2304" width="4.28515625" style="25" customWidth="1"/>
    <col min="2305" max="2305" width="38.7109375" style="25" customWidth="1"/>
    <col min="2306" max="2306" width="6.28515625" style="25" customWidth="1"/>
    <col min="2307" max="2307" width="12.42578125" style="25" customWidth="1"/>
    <col min="2308" max="2308" width="16.28515625" style="25" customWidth="1"/>
    <col min="2309" max="2309" width="12.7109375" style="25" bestFit="1" customWidth="1"/>
    <col min="2310" max="2310" width="12.42578125" style="25" bestFit="1" customWidth="1"/>
    <col min="2311" max="2311" width="12.7109375" style="25" bestFit="1" customWidth="1"/>
    <col min="2312" max="2317" width="0" style="25" hidden="1" customWidth="1"/>
    <col min="2318" max="2318" width="1.85546875" style="25" customWidth="1"/>
    <col min="2319" max="2319" width="11" style="25" customWidth="1"/>
    <col min="2320" max="2320" width="1.85546875" style="25" customWidth="1"/>
    <col min="2321" max="2329" width="11" style="25" customWidth="1"/>
    <col min="2330" max="2331" width="1.85546875" style="25" customWidth="1"/>
    <col min="2332" max="2557" width="12.7109375" style="25"/>
    <col min="2558" max="2558" width="1.85546875" style="25" customWidth="1"/>
    <col min="2559" max="2559" width="2.28515625" style="25" customWidth="1"/>
    <col min="2560" max="2560" width="4.28515625" style="25" customWidth="1"/>
    <col min="2561" max="2561" width="38.7109375" style="25" customWidth="1"/>
    <col min="2562" max="2562" width="6.28515625" style="25" customWidth="1"/>
    <col min="2563" max="2563" width="12.42578125" style="25" customWidth="1"/>
    <col min="2564" max="2564" width="16.28515625" style="25" customWidth="1"/>
    <col min="2565" max="2565" width="12.7109375" style="25" bestFit="1" customWidth="1"/>
    <col min="2566" max="2566" width="12.42578125" style="25" bestFit="1" customWidth="1"/>
    <col min="2567" max="2567" width="12.7109375" style="25" bestFit="1" customWidth="1"/>
    <col min="2568" max="2573" width="0" style="25" hidden="1" customWidth="1"/>
    <col min="2574" max="2574" width="1.85546875" style="25" customWidth="1"/>
    <col min="2575" max="2575" width="11" style="25" customWidth="1"/>
    <col min="2576" max="2576" width="1.85546875" style="25" customWidth="1"/>
    <col min="2577" max="2585" width="11" style="25" customWidth="1"/>
    <col min="2586" max="2587" width="1.85546875" style="25" customWidth="1"/>
    <col min="2588" max="2813" width="12.7109375" style="25"/>
    <col min="2814" max="2814" width="1.85546875" style="25" customWidth="1"/>
    <col min="2815" max="2815" width="2.28515625" style="25" customWidth="1"/>
    <col min="2816" max="2816" width="4.28515625" style="25" customWidth="1"/>
    <col min="2817" max="2817" width="38.7109375" style="25" customWidth="1"/>
    <col min="2818" max="2818" width="6.28515625" style="25" customWidth="1"/>
    <col min="2819" max="2819" width="12.42578125" style="25" customWidth="1"/>
    <col min="2820" max="2820" width="16.28515625" style="25" customWidth="1"/>
    <col min="2821" max="2821" width="12.7109375" style="25" bestFit="1" customWidth="1"/>
    <col min="2822" max="2822" width="12.42578125" style="25" bestFit="1" customWidth="1"/>
    <col min="2823" max="2823" width="12.7109375" style="25" bestFit="1" customWidth="1"/>
    <col min="2824" max="2829" width="0" style="25" hidden="1" customWidth="1"/>
    <col min="2830" max="2830" width="1.85546875" style="25" customWidth="1"/>
    <col min="2831" max="2831" width="11" style="25" customWidth="1"/>
    <col min="2832" max="2832" width="1.85546875" style="25" customWidth="1"/>
    <col min="2833" max="2841" width="11" style="25" customWidth="1"/>
    <col min="2842" max="2843" width="1.85546875" style="25" customWidth="1"/>
    <col min="2844" max="3069" width="12.7109375" style="25"/>
    <col min="3070" max="3070" width="1.85546875" style="25" customWidth="1"/>
    <col min="3071" max="3071" width="2.28515625" style="25" customWidth="1"/>
    <col min="3072" max="3072" width="4.28515625" style="25" customWidth="1"/>
    <col min="3073" max="3073" width="38.7109375" style="25" customWidth="1"/>
    <col min="3074" max="3074" width="6.28515625" style="25" customWidth="1"/>
    <col min="3075" max="3075" width="12.42578125" style="25" customWidth="1"/>
    <col min="3076" max="3076" width="16.28515625" style="25" customWidth="1"/>
    <col min="3077" max="3077" width="12.7109375" style="25" bestFit="1" customWidth="1"/>
    <col min="3078" max="3078" width="12.42578125" style="25" bestFit="1" customWidth="1"/>
    <col min="3079" max="3079" width="12.7109375" style="25" bestFit="1" customWidth="1"/>
    <col min="3080" max="3085" width="0" style="25" hidden="1" customWidth="1"/>
    <col min="3086" max="3086" width="1.85546875" style="25" customWidth="1"/>
    <col min="3087" max="3087" width="11" style="25" customWidth="1"/>
    <col min="3088" max="3088" width="1.85546875" style="25" customWidth="1"/>
    <col min="3089" max="3097" width="11" style="25" customWidth="1"/>
    <col min="3098" max="3099" width="1.85546875" style="25" customWidth="1"/>
    <col min="3100" max="3325" width="12.7109375" style="25"/>
    <col min="3326" max="3326" width="1.85546875" style="25" customWidth="1"/>
    <col min="3327" max="3327" width="2.28515625" style="25" customWidth="1"/>
    <col min="3328" max="3328" width="4.28515625" style="25" customWidth="1"/>
    <col min="3329" max="3329" width="38.7109375" style="25" customWidth="1"/>
    <col min="3330" max="3330" width="6.28515625" style="25" customWidth="1"/>
    <col min="3331" max="3331" width="12.42578125" style="25" customWidth="1"/>
    <col min="3332" max="3332" width="16.28515625" style="25" customWidth="1"/>
    <col min="3333" max="3333" width="12.7109375" style="25" bestFit="1" customWidth="1"/>
    <col min="3334" max="3334" width="12.42578125" style="25" bestFit="1" customWidth="1"/>
    <col min="3335" max="3335" width="12.7109375" style="25" bestFit="1" customWidth="1"/>
    <col min="3336" max="3341" width="0" style="25" hidden="1" customWidth="1"/>
    <col min="3342" max="3342" width="1.85546875" style="25" customWidth="1"/>
    <col min="3343" max="3343" width="11" style="25" customWidth="1"/>
    <col min="3344" max="3344" width="1.85546875" style="25" customWidth="1"/>
    <col min="3345" max="3353" width="11" style="25" customWidth="1"/>
    <col min="3354" max="3355" width="1.85546875" style="25" customWidth="1"/>
    <col min="3356" max="3581" width="12.7109375" style="25"/>
    <col min="3582" max="3582" width="1.85546875" style="25" customWidth="1"/>
    <col min="3583" max="3583" width="2.28515625" style="25" customWidth="1"/>
    <col min="3584" max="3584" width="4.28515625" style="25" customWidth="1"/>
    <col min="3585" max="3585" width="38.7109375" style="25" customWidth="1"/>
    <col min="3586" max="3586" width="6.28515625" style="25" customWidth="1"/>
    <col min="3587" max="3587" width="12.42578125" style="25" customWidth="1"/>
    <col min="3588" max="3588" width="16.28515625" style="25" customWidth="1"/>
    <col min="3589" max="3589" width="12.7109375" style="25" bestFit="1" customWidth="1"/>
    <col min="3590" max="3590" width="12.42578125" style="25" bestFit="1" customWidth="1"/>
    <col min="3591" max="3591" width="12.7109375" style="25" bestFit="1" customWidth="1"/>
    <col min="3592" max="3597" width="0" style="25" hidden="1" customWidth="1"/>
    <col min="3598" max="3598" width="1.85546875" style="25" customWidth="1"/>
    <col min="3599" max="3599" width="11" style="25" customWidth="1"/>
    <col min="3600" max="3600" width="1.85546875" style="25" customWidth="1"/>
    <col min="3601" max="3609" width="11" style="25" customWidth="1"/>
    <col min="3610" max="3611" width="1.85546875" style="25" customWidth="1"/>
    <col min="3612" max="3837" width="12.7109375" style="25"/>
    <col min="3838" max="3838" width="1.85546875" style="25" customWidth="1"/>
    <col min="3839" max="3839" width="2.28515625" style="25" customWidth="1"/>
    <col min="3840" max="3840" width="4.28515625" style="25" customWidth="1"/>
    <col min="3841" max="3841" width="38.7109375" style="25" customWidth="1"/>
    <col min="3842" max="3842" width="6.28515625" style="25" customWidth="1"/>
    <col min="3843" max="3843" width="12.42578125" style="25" customWidth="1"/>
    <col min="3844" max="3844" width="16.28515625" style="25" customWidth="1"/>
    <col min="3845" max="3845" width="12.7109375" style="25" bestFit="1" customWidth="1"/>
    <col min="3846" max="3846" width="12.42578125" style="25" bestFit="1" customWidth="1"/>
    <col min="3847" max="3847" width="12.7109375" style="25" bestFit="1" customWidth="1"/>
    <col min="3848" max="3853" width="0" style="25" hidden="1" customWidth="1"/>
    <col min="3854" max="3854" width="1.85546875" style="25" customWidth="1"/>
    <col min="3855" max="3855" width="11" style="25" customWidth="1"/>
    <col min="3856" max="3856" width="1.85546875" style="25" customWidth="1"/>
    <col min="3857" max="3865" width="11" style="25" customWidth="1"/>
    <col min="3866" max="3867" width="1.85546875" style="25" customWidth="1"/>
    <col min="3868" max="4093" width="12.7109375" style="25"/>
    <col min="4094" max="4094" width="1.85546875" style="25" customWidth="1"/>
    <col min="4095" max="4095" width="2.28515625" style="25" customWidth="1"/>
    <col min="4096" max="4096" width="4.28515625" style="25" customWidth="1"/>
    <col min="4097" max="4097" width="38.7109375" style="25" customWidth="1"/>
    <col min="4098" max="4098" width="6.28515625" style="25" customWidth="1"/>
    <col min="4099" max="4099" width="12.42578125" style="25" customWidth="1"/>
    <col min="4100" max="4100" width="16.28515625" style="25" customWidth="1"/>
    <col min="4101" max="4101" width="12.7109375" style="25" bestFit="1" customWidth="1"/>
    <col min="4102" max="4102" width="12.42578125" style="25" bestFit="1" customWidth="1"/>
    <col min="4103" max="4103" width="12.7109375" style="25" bestFit="1" customWidth="1"/>
    <col min="4104" max="4109" width="0" style="25" hidden="1" customWidth="1"/>
    <col min="4110" max="4110" width="1.85546875" style="25" customWidth="1"/>
    <col min="4111" max="4111" width="11" style="25" customWidth="1"/>
    <col min="4112" max="4112" width="1.85546875" style="25" customWidth="1"/>
    <col min="4113" max="4121" width="11" style="25" customWidth="1"/>
    <col min="4122" max="4123" width="1.85546875" style="25" customWidth="1"/>
    <col min="4124" max="4349" width="12.7109375" style="25"/>
    <col min="4350" max="4350" width="1.85546875" style="25" customWidth="1"/>
    <col min="4351" max="4351" width="2.28515625" style="25" customWidth="1"/>
    <col min="4352" max="4352" width="4.28515625" style="25" customWidth="1"/>
    <col min="4353" max="4353" width="38.7109375" style="25" customWidth="1"/>
    <col min="4354" max="4354" width="6.28515625" style="25" customWidth="1"/>
    <col min="4355" max="4355" width="12.42578125" style="25" customWidth="1"/>
    <col min="4356" max="4356" width="16.28515625" style="25" customWidth="1"/>
    <col min="4357" max="4357" width="12.7109375" style="25" bestFit="1" customWidth="1"/>
    <col min="4358" max="4358" width="12.42578125" style="25" bestFit="1" customWidth="1"/>
    <col min="4359" max="4359" width="12.7109375" style="25" bestFit="1" customWidth="1"/>
    <col min="4360" max="4365" width="0" style="25" hidden="1" customWidth="1"/>
    <col min="4366" max="4366" width="1.85546875" style="25" customWidth="1"/>
    <col min="4367" max="4367" width="11" style="25" customWidth="1"/>
    <col min="4368" max="4368" width="1.85546875" style="25" customWidth="1"/>
    <col min="4369" max="4377" width="11" style="25" customWidth="1"/>
    <col min="4378" max="4379" width="1.85546875" style="25" customWidth="1"/>
    <col min="4380" max="4605" width="12.7109375" style="25"/>
    <col min="4606" max="4606" width="1.85546875" style="25" customWidth="1"/>
    <col min="4607" max="4607" width="2.28515625" style="25" customWidth="1"/>
    <col min="4608" max="4608" width="4.28515625" style="25" customWidth="1"/>
    <col min="4609" max="4609" width="38.7109375" style="25" customWidth="1"/>
    <col min="4610" max="4610" width="6.28515625" style="25" customWidth="1"/>
    <col min="4611" max="4611" width="12.42578125" style="25" customWidth="1"/>
    <col min="4612" max="4612" width="16.28515625" style="25" customWidth="1"/>
    <col min="4613" max="4613" width="12.7109375" style="25" bestFit="1" customWidth="1"/>
    <col min="4614" max="4614" width="12.42578125" style="25" bestFit="1" customWidth="1"/>
    <col min="4615" max="4615" width="12.7109375" style="25" bestFit="1" customWidth="1"/>
    <col min="4616" max="4621" width="0" style="25" hidden="1" customWidth="1"/>
    <col min="4622" max="4622" width="1.85546875" style="25" customWidth="1"/>
    <col min="4623" max="4623" width="11" style="25" customWidth="1"/>
    <col min="4624" max="4624" width="1.85546875" style="25" customWidth="1"/>
    <col min="4625" max="4633" width="11" style="25" customWidth="1"/>
    <col min="4634" max="4635" width="1.85546875" style="25" customWidth="1"/>
    <col min="4636" max="4861" width="12.7109375" style="25"/>
    <col min="4862" max="4862" width="1.85546875" style="25" customWidth="1"/>
    <col min="4863" max="4863" width="2.28515625" style="25" customWidth="1"/>
    <col min="4864" max="4864" width="4.28515625" style="25" customWidth="1"/>
    <col min="4865" max="4865" width="38.7109375" style="25" customWidth="1"/>
    <col min="4866" max="4866" width="6.28515625" style="25" customWidth="1"/>
    <col min="4867" max="4867" width="12.42578125" style="25" customWidth="1"/>
    <col min="4868" max="4868" width="16.28515625" style="25" customWidth="1"/>
    <col min="4869" max="4869" width="12.7109375" style="25" bestFit="1" customWidth="1"/>
    <col min="4870" max="4870" width="12.42578125" style="25" bestFit="1" customWidth="1"/>
    <col min="4871" max="4871" width="12.7109375" style="25" bestFit="1" customWidth="1"/>
    <col min="4872" max="4877" width="0" style="25" hidden="1" customWidth="1"/>
    <col min="4878" max="4878" width="1.85546875" style="25" customWidth="1"/>
    <col min="4879" max="4879" width="11" style="25" customWidth="1"/>
    <col min="4880" max="4880" width="1.85546875" style="25" customWidth="1"/>
    <col min="4881" max="4889" width="11" style="25" customWidth="1"/>
    <col min="4890" max="4891" width="1.85546875" style="25" customWidth="1"/>
    <col min="4892" max="5117" width="12.7109375" style="25"/>
    <col min="5118" max="5118" width="1.85546875" style="25" customWidth="1"/>
    <col min="5119" max="5119" width="2.28515625" style="25" customWidth="1"/>
    <col min="5120" max="5120" width="4.28515625" style="25" customWidth="1"/>
    <col min="5121" max="5121" width="38.7109375" style="25" customWidth="1"/>
    <col min="5122" max="5122" width="6.28515625" style="25" customWidth="1"/>
    <col min="5123" max="5123" width="12.42578125" style="25" customWidth="1"/>
    <col min="5124" max="5124" width="16.28515625" style="25" customWidth="1"/>
    <col min="5125" max="5125" width="12.7109375" style="25" bestFit="1" customWidth="1"/>
    <col min="5126" max="5126" width="12.42578125" style="25" bestFit="1" customWidth="1"/>
    <col min="5127" max="5127" width="12.7109375" style="25" bestFit="1" customWidth="1"/>
    <col min="5128" max="5133" width="0" style="25" hidden="1" customWidth="1"/>
    <col min="5134" max="5134" width="1.85546875" style="25" customWidth="1"/>
    <col min="5135" max="5135" width="11" style="25" customWidth="1"/>
    <col min="5136" max="5136" width="1.85546875" style="25" customWidth="1"/>
    <col min="5137" max="5145" width="11" style="25" customWidth="1"/>
    <col min="5146" max="5147" width="1.85546875" style="25" customWidth="1"/>
    <col min="5148" max="5373" width="12.7109375" style="25"/>
    <col min="5374" max="5374" width="1.85546875" style="25" customWidth="1"/>
    <col min="5375" max="5375" width="2.28515625" style="25" customWidth="1"/>
    <col min="5376" max="5376" width="4.28515625" style="25" customWidth="1"/>
    <col min="5377" max="5377" width="38.7109375" style="25" customWidth="1"/>
    <col min="5378" max="5378" width="6.28515625" style="25" customWidth="1"/>
    <col min="5379" max="5379" width="12.42578125" style="25" customWidth="1"/>
    <col min="5380" max="5380" width="16.28515625" style="25" customWidth="1"/>
    <col min="5381" max="5381" width="12.7109375" style="25" bestFit="1" customWidth="1"/>
    <col min="5382" max="5382" width="12.42578125" style="25" bestFit="1" customWidth="1"/>
    <col min="5383" max="5383" width="12.7109375" style="25" bestFit="1" customWidth="1"/>
    <col min="5384" max="5389" width="0" style="25" hidden="1" customWidth="1"/>
    <col min="5390" max="5390" width="1.85546875" style="25" customWidth="1"/>
    <col min="5391" max="5391" width="11" style="25" customWidth="1"/>
    <col min="5392" max="5392" width="1.85546875" style="25" customWidth="1"/>
    <col min="5393" max="5401" width="11" style="25" customWidth="1"/>
    <col min="5402" max="5403" width="1.85546875" style="25" customWidth="1"/>
    <col min="5404" max="5629" width="12.7109375" style="25"/>
    <col min="5630" max="5630" width="1.85546875" style="25" customWidth="1"/>
    <col min="5631" max="5631" width="2.28515625" style="25" customWidth="1"/>
    <col min="5632" max="5632" width="4.28515625" style="25" customWidth="1"/>
    <col min="5633" max="5633" width="38.7109375" style="25" customWidth="1"/>
    <col min="5634" max="5634" width="6.28515625" style="25" customWidth="1"/>
    <col min="5635" max="5635" width="12.42578125" style="25" customWidth="1"/>
    <col min="5636" max="5636" width="16.28515625" style="25" customWidth="1"/>
    <col min="5637" max="5637" width="12.7109375" style="25" bestFit="1" customWidth="1"/>
    <col min="5638" max="5638" width="12.42578125" style="25" bestFit="1" customWidth="1"/>
    <col min="5639" max="5639" width="12.7109375" style="25" bestFit="1" customWidth="1"/>
    <col min="5640" max="5645" width="0" style="25" hidden="1" customWidth="1"/>
    <col min="5646" max="5646" width="1.85546875" style="25" customWidth="1"/>
    <col min="5647" max="5647" width="11" style="25" customWidth="1"/>
    <col min="5648" max="5648" width="1.85546875" style="25" customWidth="1"/>
    <col min="5649" max="5657" width="11" style="25" customWidth="1"/>
    <col min="5658" max="5659" width="1.85546875" style="25" customWidth="1"/>
    <col min="5660" max="5885" width="12.7109375" style="25"/>
    <col min="5886" max="5886" width="1.85546875" style="25" customWidth="1"/>
    <col min="5887" max="5887" width="2.28515625" style="25" customWidth="1"/>
    <col min="5888" max="5888" width="4.28515625" style="25" customWidth="1"/>
    <col min="5889" max="5889" width="38.7109375" style="25" customWidth="1"/>
    <col min="5890" max="5890" width="6.28515625" style="25" customWidth="1"/>
    <col min="5891" max="5891" width="12.42578125" style="25" customWidth="1"/>
    <col min="5892" max="5892" width="16.28515625" style="25" customWidth="1"/>
    <col min="5893" max="5893" width="12.7109375" style="25" bestFit="1" customWidth="1"/>
    <col min="5894" max="5894" width="12.42578125" style="25" bestFit="1" customWidth="1"/>
    <col min="5895" max="5895" width="12.7109375" style="25" bestFit="1" customWidth="1"/>
    <col min="5896" max="5901" width="0" style="25" hidden="1" customWidth="1"/>
    <col min="5902" max="5902" width="1.85546875" style="25" customWidth="1"/>
    <col min="5903" max="5903" width="11" style="25" customWidth="1"/>
    <col min="5904" max="5904" width="1.85546875" style="25" customWidth="1"/>
    <col min="5905" max="5913" width="11" style="25" customWidth="1"/>
    <col min="5914" max="5915" width="1.85546875" style="25" customWidth="1"/>
    <col min="5916" max="6141" width="12.7109375" style="25"/>
    <col min="6142" max="6142" width="1.85546875" style="25" customWidth="1"/>
    <col min="6143" max="6143" width="2.28515625" style="25" customWidth="1"/>
    <col min="6144" max="6144" width="4.28515625" style="25" customWidth="1"/>
    <col min="6145" max="6145" width="38.7109375" style="25" customWidth="1"/>
    <col min="6146" max="6146" width="6.28515625" style="25" customWidth="1"/>
    <col min="6147" max="6147" width="12.42578125" style="25" customWidth="1"/>
    <col min="6148" max="6148" width="16.28515625" style="25" customWidth="1"/>
    <col min="6149" max="6149" width="12.7109375" style="25" bestFit="1" customWidth="1"/>
    <col min="6150" max="6150" width="12.42578125" style="25" bestFit="1" customWidth="1"/>
    <col min="6151" max="6151" width="12.7109375" style="25" bestFit="1" customWidth="1"/>
    <col min="6152" max="6157" width="0" style="25" hidden="1" customWidth="1"/>
    <col min="6158" max="6158" width="1.85546875" style="25" customWidth="1"/>
    <col min="6159" max="6159" width="11" style="25" customWidth="1"/>
    <col min="6160" max="6160" width="1.85546875" style="25" customWidth="1"/>
    <col min="6161" max="6169" width="11" style="25" customWidth="1"/>
    <col min="6170" max="6171" width="1.85546875" style="25" customWidth="1"/>
    <col min="6172" max="6397" width="12.7109375" style="25"/>
    <col min="6398" max="6398" width="1.85546875" style="25" customWidth="1"/>
    <col min="6399" max="6399" width="2.28515625" style="25" customWidth="1"/>
    <col min="6400" max="6400" width="4.28515625" style="25" customWidth="1"/>
    <col min="6401" max="6401" width="38.7109375" style="25" customWidth="1"/>
    <col min="6402" max="6402" width="6.28515625" style="25" customWidth="1"/>
    <col min="6403" max="6403" width="12.42578125" style="25" customWidth="1"/>
    <col min="6404" max="6404" width="16.28515625" style="25" customWidth="1"/>
    <col min="6405" max="6405" width="12.7109375" style="25" bestFit="1" customWidth="1"/>
    <col min="6406" max="6406" width="12.42578125" style="25" bestFit="1" customWidth="1"/>
    <col min="6407" max="6407" width="12.7109375" style="25" bestFit="1" customWidth="1"/>
    <col min="6408" max="6413" width="0" style="25" hidden="1" customWidth="1"/>
    <col min="6414" max="6414" width="1.85546875" style="25" customWidth="1"/>
    <col min="6415" max="6415" width="11" style="25" customWidth="1"/>
    <col min="6416" max="6416" width="1.85546875" style="25" customWidth="1"/>
    <col min="6417" max="6425" width="11" style="25" customWidth="1"/>
    <col min="6426" max="6427" width="1.85546875" style="25" customWidth="1"/>
    <col min="6428" max="6653" width="12.7109375" style="25"/>
    <col min="6654" max="6654" width="1.85546875" style="25" customWidth="1"/>
    <col min="6655" max="6655" width="2.28515625" style="25" customWidth="1"/>
    <col min="6656" max="6656" width="4.28515625" style="25" customWidth="1"/>
    <col min="6657" max="6657" width="38.7109375" style="25" customWidth="1"/>
    <col min="6658" max="6658" width="6.28515625" style="25" customWidth="1"/>
    <col min="6659" max="6659" width="12.42578125" style="25" customWidth="1"/>
    <col min="6660" max="6660" width="16.28515625" style="25" customWidth="1"/>
    <col min="6661" max="6661" width="12.7109375" style="25" bestFit="1" customWidth="1"/>
    <col min="6662" max="6662" width="12.42578125" style="25" bestFit="1" customWidth="1"/>
    <col min="6663" max="6663" width="12.7109375" style="25" bestFit="1" customWidth="1"/>
    <col min="6664" max="6669" width="0" style="25" hidden="1" customWidth="1"/>
    <col min="6670" max="6670" width="1.85546875" style="25" customWidth="1"/>
    <col min="6671" max="6671" width="11" style="25" customWidth="1"/>
    <col min="6672" max="6672" width="1.85546875" style="25" customWidth="1"/>
    <col min="6673" max="6681" width="11" style="25" customWidth="1"/>
    <col min="6682" max="6683" width="1.85546875" style="25" customWidth="1"/>
    <col min="6684" max="6909" width="12.7109375" style="25"/>
    <col min="6910" max="6910" width="1.85546875" style="25" customWidth="1"/>
    <col min="6911" max="6911" width="2.28515625" style="25" customWidth="1"/>
    <col min="6912" max="6912" width="4.28515625" style="25" customWidth="1"/>
    <col min="6913" max="6913" width="38.7109375" style="25" customWidth="1"/>
    <col min="6914" max="6914" width="6.28515625" style="25" customWidth="1"/>
    <col min="6915" max="6915" width="12.42578125" style="25" customWidth="1"/>
    <col min="6916" max="6916" width="16.28515625" style="25" customWidth="1"/>
    <col min="6917" max="6917" width="12.7109375" style="25" bestFit="1" customWidth="1"/>
    <col min="6918" max="6918" width="12.42578125" style="25" bestFit="1" customWidth="1"/>
    <col min="6919" max="6919" width="12.7109375" style="25" bestFit="1" customWidth="1"/>
    <col min="6920" max="6925" width="0" style="25" hidden="1" customWidth="1"/>
    <col min="6926" max="6926" width="1.85546875" style="25" customWidth="1"/>
    <col min="6927" max="6927" width="11" style="25" customWidth="1"/>
    <col min="6928" max="6928" width="1.85546875" style="25" customWidth="1"/>
    <col min="6929" max="6937" width="11" style="25" customWidth="1"/>
    <col min="6938" max="6939" width="1.85546875" style="25" customWidth="1"/>
    <col min="6940" max="7165" width="12.7109375" style="25"/>
    <col min="7166" max="7166" width="1.85546875" style="25" customWidth="1"/>
    <col min="7167" max="7167" width="2.28515625" style="25" customWidth="1"/>
    <col min="7168" max="7168" width="4.28515625" style="25" customWidth="1"/>
    <col min="7169" max="7169" width="38.7109375" style="25" customWidth="1"/>
    <col min="7170" max="7170" width="6.28515625" style="25" customWidth="1"/>
    <col min="7171" max="7171" width="12.42578125" style="25" customWidth="1"/>
    <col min="7172" max="7172" width="16.28515625" style="25" customWidth="1"/>
    <col min="7173" max="7173" width="12.7109375" style="25" bestFit="1" customWidth="1"/>
    <col min="7174" max="7174" width="12.42578125" style="25" bestFit="1" customWidth="1"/>
    <col min="7175" max="7175" width="12.7109375" style="25" bestFit="1" customWidth="1"/>
    <col min="7176" max="7181" width="0" style="25" hidden="1" customWidth="1"/>
    <col min="7182" max="7182" width="1.85546875" style="25" customWidth="1"/>
    <col min="7183" max="7183" width="11" style="25" customWidth="1"/>
    <col min="7184" max="7184" width="1.85546875" style="25" customWidth="1"/>
    <col min="7185" max="7193" width="11" style="25" customWidth="1"/>
    <col min="7194" max="7195" width="1.85546875" style="25" customWidth="1"/>
    <col min="7196" max="7421" width="12.7109375" style="25"/>
    <col min="7422" max="7422" width="1.85546875" style="25" customWidth="1"/>
    <col min="7423" max="7423" width="2.28515625" style="25" customWidth="1"/>
    <col min="7424" max="7424" width="4.28515625" style="25" customWidth="1"/>
    <col min="7425" max="7425" width="38.7109375" style="25" customWidth="1"/>
    <col min="7426" max="7426" width="6.28515625" style="25" customWidth="1"/>
    <col min="7427" max="7427" width="12.42578125" style="25" customWidth="1"/>
    <col min="7428" max="7428" width="16.28515625" style="25" customWidth="1"/>
    <col min="7429" max="7429" width="12.7109375" style="25" bestFit="1" customWidth="1"/>
    <col min="7430" max="7430" width="12.42578125" style="25" bestFit="1" customWidth="1"/>
    <col min="7431" max="7431" width="12.7109375" style="25" bestFit="1" customWidth="1"/>
    <col min="7432" max="7437" width="0" style="25" hidden="1" customWidth="1"/>
    <col min="7438" max="7438" width="1.85546875" style="25" customWidth="1"/>
    <col min="7439" max="7439" width="11" style="25" customWidth="1"/>
    <col min="7440" max="7440" width="1.85546875" style="25" customWidth="1"/>
    <col min="7441" max="7449" width="11" style="25" customWidth="1"/>
    <col min="7450" max="7451" width="1.85546875" style="25" customWidth="1"/>
    <col min="7452" max="7677" width="12.7109375" style="25"/>
    <col min="7678" max="7678" width="1.85546875" style="25" customWidth="1"/>
    <col min="7679" max="7679" width="2.28515625" style="25" customWidth="1"/>
    <col min="7680" max="7680" width="4.28515625" style="25" customWidth="1"/>
    <col min="7681" max="7681" width="38.7109375" style="25" customWidth="1"/>
    <col min="7682" max="7682" width="6.28515625" style="25" customWidth="1"/>
    <col min="7683" max="7683" width="12.42578125" style="25" customWidth="1"/>
    <col min="7684" max="7684" width="16.28515625" style="25" customWidth="1"/>
    <col min="7685" max="7685" width="12.7109375" style="25" bestFit="1" customWidth="1"/>
    <col min="7686" max="7686" width="12.42578125" style="25" bestFit="1" customWidth="1"/>
    <col min="7687" max="7687" width="12.7109375" style="25" bestFit="1" customWidth="1"/>
    <col min="7688" max="7693" width="0" style="25" hidden="1" customWidth="1"/>
    <col min="7694" max="7694" width="1.85546875" style="25" customWidth="1"/>
    <col min="7695" max="7695" width="11" style="25" customWidth="1"/>
    <col min="7696" max="7696" width="1.85546875" style="25" customWidth="1"/>
    <col min="7697" max="7705" width="11" style="25" customWidth="1"/>
    <col min="7706" max="7707" width="1.85546875" style="25" customWidth="1"/>
    <col min="7708" max="7933" width="12.7109375" style="25"/>
    <col min="7934" max="7934" width="1.85546875" style="25" customWidth="1"/>
    <col min="7935" max="7935" width="2.28515625" style="25" customWidth="1"/>
    <col min="7936" max="7936" width="4.28515625" style="25" customWidth="1"/>
    <col min="7937" max="7937" width="38.7109375" style="25" customWidth="1"/>
    <col min="7938" max="7938" width="6.28515625" style="25" customWidth="1"/>
    <col min="7939" max="7939" width="12.42578125" style="25" customWidth="1"/>
    <col min="7940" max="7940" width="16.28515625" style="25" customWidth="1"/>
    <col min="7941" max="7941" width="12.7109375" style="25" bestFit="1" customWidth="1"/>
    <col min="7942" max="7942" width="12.42578125" style="25" bestFit="1" customWidth="1"/>
    <col min="7943" max="7943" width="12.7109375" style="25" bestFit="1" customWidth="1"/>
    <col min="7944" max="7949" width="0" style="25" hidden="1" customWidth="1"/>
    <col min="7950" max="7950" width="1.85546875" style="25" customWidth="1"/>
    <col min="7951" max="7951" width="11" style="25" customWidth="1"/>
    <col min="7952" max="7952" width="1.85546875" style="25" customWidth="1"/>
    <col min="7953" max="7961" width="11" style="25" customWidth="1"/>
    <col min="7962" max="7963" width="1.85546875" style="25" customWidth="1"/>
    <col min="7964" max="8189" width="12.7109375" style="25"/>
    <col min="8190" max="8190" width="1.85546875" style="25" customWidth="1"/>
    <col min="8191" max="8191" width="2.28515625" style="25" customWidth="1"/>
    <col min="8192" max="8192" width="4.28515625" style="25" customWidth="1"/>
    <col min="8193" max="8193" width="38.7109375" style="25" customWidth="1"/>
    <col min="8194" max="8194" width="6.28515625" style="25" customWidth="1"/>
    <col min="8195" max="8195" width="12.42578125" style="25" customWidth="1"/>
    <col min="8196" max="8196" width="16.28515625" style="25" customWidth="1"/>
    <col min="8197" max="8197" width="12.7109375" style="25" bestFit="1" customWidth="1"/>
    <col min="8198" max="8198" width="12.42578125" style="25" bestFit="1" customWidth="1"/>
    <col min="8199" max="8199" width="12.7109375" style="25" bestFit="1" customWidth="1"/>
    <col min="8200" max="8205" width="0" style="25" hidden="1" customWidth="1"/>
    <col min="8206" max="8206" width="1.85546875" style="25" customWidth="1"/>
    <col min="8207" max="8207" width="11" style="25" customWidth="1"/>
    <col min="8208" max="8208" width="1.85546875" style="25" customWidth="1"/>
    <col min="8209" max="8217" width="11" style="25" customWidth="1"/>
    <col min="8218" max="8219" width="1.85546875" style="25" customWidth="1"/>
    <col min="8220" max="8445" width="12.7109375" style="25"/>
    <col min="8446" max="8446" width="1.85546875" style="25" customWidth="1"/>
    <col min="8447" max="8447" width="2.28515625" style="25" customWidth="1"/>
    <col min="8448" max="8448" width="4.28515625" style="25" customWidth="1"/>
    <col min="8449" max="8449" width="38.7109375" style="25" customWidth="1"/>
    <col min="8450" max="8450" width="6.28515625" style="25" customWidth="1"/>
    <col min="8451" max="8451" width="12.42578125" style="25" customWidth="1"/>
    <col min="8452" max="8452" width="16.28515625" style="25" customWidth="1"/>
    <col min="8453" max="8453" width="12.7109375" style="25" bestFit="1" customWidth="1"/>
    <col min="8454" max="8454" width="12.42578125" style="25" bestFit="1" customWidth="1"/>
    <col min="8455" max="8455" width="12.7109375" style="25" bestFit="1" customWidth="1"/>
    <col min="8456" max="8461" width="0" style="25" hidden="1" customWidth="1"/>
    <col min="8462" max="8462" width="1.85546875" style="25" customWidth="1"/>
    <col min="8463" max="8463" width="11" style="25" customWidth="1"/>
    <col min="8464" max="8464" width="1.85546875" style="25" customWidth="1"/>
    <col min="8465" max="8473" width="11" style="25" customWidth="1"/>
    <col min="8474" max="8475" width="1.85546875" style="25" customWidth="1"/>
    <col min="8476" max="8701" width="12.7109375" style="25"/>
    <col min="8702" max="8702" width="1.85546875" style="25" customWidth="1"/>
    <col min="8703" max="8703" width="2.28515625" style="25" customWidth="1"/>
    <col min="8704" max="8704" width="4.28515625" style="25" customWidth="1"/>
    <col min="8705" max="8705" width="38.7109375" style="25" customWidth="1"/>
    <col min="8706" max="8706" width="6.28515625" style="25" customWidth="1"/>
    <col min="8707" max="8707" width="12.42578125" style="25" customWidth="1"/>
    <col min="8708" max="8708" width="16.28515625" style="25" customWidth="1"/>
    <col min="8709" max="8709" width="12.7109375" style="25" bestFit="1" customWidth="1"/>
    <col min="8710" max="8710" width="12.42578125" style="25" bestFit="1" customWidth="1"/>
    <col min="8711" max="8711" width="12.7109375" style="25" bestFit="1" customWidth="1"/>
    <col min="8712" max="8717" width="0" style="25" hidden="1" customWidth="1"/>
    <col min="8718" max="8718" width="1.85546875" style="25" customWidth="1"/>
    <col min="8719" max="8719" width="11" style="25" customWidth="1"/>
    <col min="8720" max="8720" width="1.85546875" style="25" customWidth="1"/>
    <col min="8721" max="8729" width="11" style="25" customWidth="1"/>
    <col min="8730" max="8731" width="1.85546875" style="25" customWidth="1"/>
    <col min="8732" max="8957" width="12.7109375" style="25"/>
    <col min="8958" max="8958" width="1.85546875" style="25" customWidth="1"/>
    <col min="8959" max="8959" width="2.28515625" style="25" customWidth="1"/>
    <col min="8960" max="8960" width="4.28515625" style="25" customWidth="1"/>
    <col min="8961" max="8961" width="38.7109375" style="25" customWidth="1"/>
    <col min="8962" max="8962" width="6.28515625" style="25" customWidth="1"/>
    <col min="8963" max="8963" width="12.42578125" style="25" customWidth="1"/>
    <col min="8964" max="8964" width="16.28515625" style="25" customWidth="1"/>
    <col min="8965" max="8965" width="12.7109375" style="25" bestFit="1" customWidth="1"/>
    <col min="8966" max="8966" width="12.42578125" style="25" bestFit="1" customWidth="1"/>
    <col min="8967" max="8967" width="12.7109375" style="25" bestFit="1" customWidth="1"/>
    <col min="8968" max="8973" width="0" style="25" hidden="1" customWidth="1"/>
    <col min="8974" max="8974" width="1.85546875" style="25" customWidth="1"/>
    <col min="8975" max="8975" width="11" style="25" customWidth="1"/>
    <col min="8976" max="8976" width="1.85546875" style="25" customWidth="1"/>
    <col min="8977" max="8985" width="11" style="25" customWidth="1"/>
    <col min="8986" max="8987" width="1.85546875" style="25" customWidth="1"/>
    <col min="8988" max="9213" width="12.7109375" style="25"/>
    <col min="9214" max="9214" width="1.85546875" style="25" customWidth="1"/>
    <col min="9215" max="9215" width="2.28515625" style="25" customWidth="1"/>
    <col min="9216" max="9216" width="4.28515625" style="25" customWidth="1"/>
    <col min="9217" max="9217" width="38.7109375" style="25" customWidth="1"/>
    <col min="9218" max="9218" width="6.28515625" style="25" customWidth="1"/>
    <col min="9219" max="9219" width="12.42578125" style="25" customWidth="1"/>
    <col min="9220" max="9220" width="16.28515625" style="25" customWidth="1"/>
    <col min="9221" max="9221" width="12.7109375" style="25" bestFit="1" customWidth="1"/>
    <col min="9222" max="9222" width="12.42578125" style="25" bestFit="1" customWidth="1"/>
    <col min="9223" max="9223" width="12.7109375" style="25" bestFit="1" customWidth="1"/>
    <col min="9224" max="9229" width="0" style="25" hidden="1" customWidth="1"/>
    <col min="9230" max="9230" width="1.85546875" style="25" customWidth="1"/>
    <col min="9231" max="9231" width="11" style="25" customWidth="1"/>
    <col min="9232" max="9232" width="1.85546875" style="25" customWidth="1"/>
    <col min="9233" max="9241" width="11" style="25" customWidth="1"/>
    <col min="9242" max="9243" width="1.85546875" style="25" customWidth="1"/>
    <col min="9244" max="9469" width="12.7109375" style="25"/>
    <col min="9470" max="9470" width="1.85546875" style="25" customWidth="1"/>
    <col min="9471" max="9471" width="2.28515625" style="25" customWidth="1"/>
    <col min="9472" max="9472" width="4.28515625" style="25" customWidth="1"/>
    <col min="9473" max="9473" width="38.7109375" style="25" customWidth="1"/>
    <col min="9474" max="9474" width="6.28515625" style="25" customWidth="1"/>
    <col min="9475" max="9475" width="12.42578125" style="25" customWidth="1"/>
    <col min="9476" max="9476" width="16.28515625" style="25" customWidth="1"/>
    <col min="9477" max="9477" width="12.7109375" style="25" bestFit="1" customWidth="1"/>
    <col min="9478" max="9478" width="12.42578125" style="25" bestFit="1" customWidth="1"/>
    <col min="9479" max="9479" width="12.7109375" style="25" bestFit="1" customWidth="1"/>
    <col min="9480" max="9485" width="0" style="25" hidden="1" customWidth="1"/>
    <col min="9486" max="9486" width="1.85546875" style="25" customWidth="1"/>
    <col min="9487" max="9487" width="11" style="25" customWidth="1"/>
    <col min="9488" max="9488" width="1.85546875" style="25" customWidth="1"/>
    <col min="9489" max="9497" width="11" style="25" customWidth="1"/>
    <col min="9498" max="9499" width="1.85546875" style="25" customWidth="1"/>
    <col min="9500" max="9725" width="12.7109375" style="25"/>
    <col min="9726" max="9726" width="1.85546875" style="25" customWidth="1"/>
    <col min="9727" max="9727" width="2.28515625" style="25" customWidth="1"/>
    <col min="9728" max="9728" width="4.28515625" style="25" customWidth="1"/>
    <col min="9729" max="9729" width="38.7109375" style="25" customWidth="1"/>
    <col min="9730" max="9730" width="6.28515625" style="25" customWidth="1"/>
    <col min="9731" max="9731" width="12.42578125" style="25" customWidth="1"/>
    <col min="9732" max="9732" width="16.28515625" style="25" customWidth="1"/>
    <col min="9733" max="9733" width="12.7109375" style="25" bestFit="1" customWidth="1"/>
    <col min="9734" max="9734" width="12.42578125" style="25" bestFit="1" customWidth="1"/>
    <col min="9735" max="9735" width="12.7109375" style="25" bestFit="1" customWidth="1"/>
    <col min="9736" max="9741" width="0" style="25" hidden="1" customWidth="1"/>
    <col min="9742" max="9742" width="1.85546875" style="25" customWidth="1"/>
    <col min="9743" max="9743" width="11" style="25" customWidth="1"/>
    <col min="9744" max="9744" width="1.85546875" style="25" customWidth="1"/>
    <col min="9745" max="9753" width="11" style="25" customWidth="1"/>
    <col min="9754" max="9755" width="1.85546875" style="25" customWidth="1"/>
    <col min="9756" max="9981" width="12.7109375" style="25"/>
    <col min="9982" max="9982" width="1.85546875" style="25" customWidth="1"/>
    <col min="9983" max="9983" width="2.28515625" style="25" customWidth="1"/>
    <col min="9984" max="9984" width="4.28515625" style="25" customWidth="1"/>
    <col min="9985" max="9985" width="38.7109375" style="25" customWidth="1"/>
    <col min="9986" max="9986" width="6.28515625" style="25" customWidth="1"/>
    <col min="9987" max="9987" width="12.42578125" style="25" customWidth="1"/>
    <col min="9988" max="9988" width="16.28515625" style="25" customWidth="1"/>
    <col min="9989" max="9989" width="12.7109375" style="25" bestFit="1" customWidth="1"/>
    <col min="9990" max="9990" width="12.42578125" style="25" bestFit="1" customWidth="1"/>
    <col min="9991" max="9991" width="12.7109375" style="25" bestFit="1" customWidth="1"/>
    <col min="9992" max="9997" width="0" style="25" hidden="1" customWidth="1"/>
    <col min="9998" max="9998" width="1.85546875" style="25" customWidth="1"/>
    <col min="9999" max="9999" width="11" style="25" customWidth="1"/>
    <col min="10000" max="10000" width="1.85546875" style="25" customWidth="1"/>
    <col min="10001" max="10009" width="11" style="25" customWidth="1"/>
    <col min="10010" max="10011" width="1.85546875" style="25" customWidth="1"/>
    <col min="10012" max="10237" width="12.7109375" style="25"/>
    <col min="10238" max="10238" width="1.85546875" style="25" customWidth="1"/>
    <col min="10239" max="10239" width="2.28515625" style="25" customWidth="1"/>
    <col min="10240" max="10240" width="4.28515625" style="25" customWidth="1"/>
    <col min="10241" max="10241" width="38.7109375" style="25" customWidth="1"/>
    <col min="10242" max="10242" width="6.28515625" style="25" customWidth="1"/>
    <col min="10243" max="10243" width="12.42578125" style="25" customWidth="1"/>
    <col min="10244" max="10244" width="16.28515625" style="25" customWidth="1"/>
    <col min="10245" max="10245" width="12.7109375" style="25" bestFit="1" customWidth="1"/>
    <col min="10246" max="10246" width="12.42578125" style="25" bestFit="1" customWidth="1"/>
    <col min="10247" max="10247" width="12.7109375" style="25" bestFit="1" customWidth="1"/>
    <col min="10248" max="10253" width="0" style="25" hidden="1" customWidth="1"/>
    <col min="10254" max="10254" width="1.85546875" style="25" customWidth="1"/>
    <col min="10255" max="10255" width="11" style="25" customWidth="1"/>
    <col min="10256" max="10256" width="1.85546875" style="25" customWidth="1"/>
    <col min="10257" max="10265" width="11" style="25" customWidth="1"/>
    <col min="10266" max="10267" width="1.85546875" style="25" customWidth="1"/>
    <col min="10268" max="10493" width="12.7109375" style="25"/>
    <col min="10494" max="10494" width="1.85546875" style="25" customWidth="1"/>
    <col min="10495" max="10495" width="2.28515625" style="25" customWidth="1"/>
    <col min="10496" max="10496" width="4.28515625" style="25" customWidth="1"/>
    <col min="10497" max="10497" width="38.7109375" style="25" customWidth="1"/>
    <col min="10498" max="10498" width="6.28515625" style="25" customWidth="1"/>
    <col min="10499" max="10499" width="12.42578125" style="25" customWidth="1"/>
    <col min="10500" max="10500" width="16.28515625" style="25" customWidth="1"/>
    <col min="10501" max="10501" width="12.7109375" style="25" bestFit="1" customWidth="1"/>
    <col min="10502" max="10502" width="12.42578125" style="25" bestFit="1" customWidth="1"/>
    <col min="10503" max="10503" width="12.7109375" style="25" bestFit="1" customWidth="1"/>
    <col min="10504" max="10509" width="0" style="25" hidden="1" customWidth="1"/>
    <col min="10510" max="10510" width="1.85546875" style="25" customWidth="1"/>
    <col min="10511" max="10511" width="11" style="25" customWidth="1"/>
    <col min="10512" max="10512" width="1.85546875" style="25" customWidth="1"/>
    <col min="10513" max="10521" width="11" style="25" customWidth="1"/>
    <col min="10522" max="10523" width="1.85546875" style="25" customWidth="1"/>
    <col min="10524" max="10749" width="12.7109375" style="25"/>
    <col min="10750" max="10750" width="1.85546875" style="25" customWidth="1"/>
    <col min="10751" max="10751" width="2.28515625" style="25" customWidth="1"/>
    <col min="10752" max="10752" width="4.28515625" style="25" customWidth="1"/>
    <col min="10753" max="10753" width="38.7109375" style="25" customWidth="1"/>
    <col min="10754" max="10754" width="6.28515625" style="25" customWidth="1"/>
    <col min="10755" max="10755" width="12.42578125" style="25" customWidth="1"/>
    <col min="10756" max="10756" width="16.28515625" style="25" customWidth="1"/>
    <col min="10757" max="10757" width="12.7109375" style="25" bestFit="1" customWidth="1"/>
    <col min="10758" max="10758" width="12.42578125" style="25" bestFit="1" customWidth="1"/>
    <col min="10759" max="10759" width="12.7109375" style="25" bestFit="1" customWidth="1"/>
    <col min="10760" max="10765" width="0" style="25" hidden="1" customWidth="1"/>
    <col min="10766" max="10766" width="1.85546875" style="25" customWidth="1"/>
    <col min="10767" max="10767" width="11" style="25" customWidth="1"/>
    <col min="10768" max="10768" width="1.85546875" style="25" customWidth="1"/>
    <col min="10769" max="10777" width="11" style="25" customWidth="1"/>
    <col min="10778" max="10779" width="1.85546875" style="25" customWidth="1"/>
    <col min="10780" max="11005" width="12.7109375" style="25"/>
    <col min="11006" max="11006" width="1.85546875" style="25" customWidth="1"/>
    <col min="11007" max="11007" width="2.28515625" style="25" customWidth="1"/>
    <col min="11008" max="11008" width="4.28515625" style="25" customWidth="1"/>
    <col min="11009" max="11009" width="38.7109375" style="25" customWidth="1"/>
    <col min="11010" max="11010" width="6.28515625" style="25" customWidth="1"/>
    <col min="11011" max="11011" width="12.42578125" style="25" customWidth="1"/>
    <col min="11012" max="11012" width="16.28515625" style="25" customWidth="1"/>
    <col min="11013" max="11013" width="12.7109375" style="25" bestFit="1" customWidth="1"/>
    <col min="11014" max="11014" width="12.42578125" style="25" bestFit="1" customWidth="1"/>
    <col min="11015" max="11015" width="12.7109375" style="25" bestFit="1" customWidth="1"/>
    <col min="11016" max="11021" width="0" style="25" hidden="1" customWidth="1"/>
    <col min="11022" max="11022" width="1.85546875" style="25" customWidth="1"/>
    <col min="11023" max="11023" width="11" style="25" customWidth="1"/>
    <col min="11024" max="11024" width="1.85546875" style="25" customWidth="1"/>
    <col min="11025" max="11033" width="11" style="25" customWidth="1"/>
    <col min="11034" max="11035" width="1.85546875" style="25" customWidth="1"/>
    <col min="11036" max="11261" width="12.7109375" style="25"/>
    <col min="11262" max="11262" width="1.85546875" style="25" customWidth="1"/>
    <col min="11263" max="11263" width="2.28515625" style="25" customWidth="1"/>
    <col min="11264" max="11264" width="4.28515625" style="25" customWidth="1"/>
    <col min="11265" max="11265" width="38.7109375" style="25" customWidth="1"/>
    <col min="11266" max="11266" width="6.28515625" style="25" customWidth="1"/>
    <col min="11267" max="11267" width="12.42578125" style="25" customWidth="1"/>
    <col min="11268" max="11268" width="16.28515625" style="25" customWidth="1"/>
    <col min="11269" max="11269" width="12.7109375" style="25" bestFit="1" customWidth="1"/>
    <col min="11270" max="11270" width="12.42578125" style="25" bestFit="1" customWidth="1"/>
    <col min="11271" max="11271" width="12.7109375" style="25" bestFit="1" customWidth="1"/>
    <col min="11272" max="11277" width="0" style="25" hidden="1" customWidth="1"/>
    <col min="11278" max="11278" width="1.85546875" style="25" customWidth="1"/>
    <col min="11279" max="11279" width="11" style="25" customWidth="1"/>
    <col min="11280" max="11280" width="1.85546875" style="25" customWidth="1"/>
    <col min="11281" max="11289" width="11" style="25" customWidth="1"/>
    <col min="11290" max="11291" width="1.85546875" style="25" customWidth="1"/>
    <col min="11292" max="11517" width="12.7109375" style="25"/>
    <col min="11518" max="11518" width="1.85546875" style="25" customWidth="1"/>
    <col min="11519" max="11519" width="2.28515625" style="25" customWidth="1"/>
    <col min="11520" max="11520" width="4.28515625" style="25" customWidth="1"/>
    <col min="11521" max="11521" width="38.7109375" style="25" customWidth="1"/>
    <col min="11522" max="11522" width="6.28515625" style="25" customWidth="1"/>
    <col min="11523" max="11523" width="12.42578125" style="25" customWidth="1"/>
    <col min="11524" max="11524" width="16.28515625" style="25" customWidth="1"/>
    <col min="11525" max="11525" width="12.7109375" style="25" bestFit="1" customWidth="1"/>
    <col min="11526" max="11526" width="12.42578125" style="25" bestFit="1" customWidth="1"/>
    <col min="11527" max="11527" width="12.7109375" style="25" bestFit="1" customWidth="1"/>
    <col min="11528" max="11533" width="0" style="25" hidden="1" customWidth="1"/>
    <col min="11534" max="11534" width="1.85546875" style="25" customWidth="1"/>
    <col min="11535" max="11535" width="11" style="25" customWidth="1"/>
    <col min="11536" max="11536" width="1.85546875" style="25" customWidth="1"/>
    <col min="11537" max="11545" width="11" style="25" customWidth="1"/>
    <col min="11546" max="11547" width="1.85546875" style="25" customWidth="1"/>
    <col min="11548" max="11773" width="12.7109375" style="25"/>
    <col min="11774" max="11774" width="1.85546875" style="25" customWidth="1"/>
    <col min="11775" max="11775" width="2.28515625" style="25" customWidth="1"/>
    <col min="11776" max="11776" width="4.28515625" style="25" customWidth="1"/>
    <col min="11777" max="11777" width="38.7109375" style="25" customWidth="1"/>
    <col min="11778" max="11778" width="6.28515625" style="25" customWidth="1"/>
    <col min="11779" max="11779" width="12.42578125" style="25" customWidth="1"/>
    <col min="11780" max="11780" width="16.28515625" style="25" customWidth="1"/>
    <col min="11781" max="11781" width="12.7109375" style="25" bestFit="1" customWidth="1"/>
    <col min="11782" max="11782" width="12.42578125" style="25" bestFit="1" customWidth="1"/>
    <col min="11783" max="11783" width="12.7109375" style="25" bestFit="1" customWidth="1"/>
    <col min="11784" max="11789" width="0" style="25" hidden="1" customWidth="1"/>
    <col min="11790" max="11790" width="1.85546875" style="25" customWidth="1"/>
    <col min="11791" max="11791" width="11" style="25" customWidth="1"/>
    <col min="11792" max="11792" width="1.85546875" style="25" customWidth="1"/>
    <col min="11793" max="11801" width="11" style="25" customWidth="1"/>
    <col min="11802" max="11803" width="1.85546875" style="25" customWidth="1"/>
    <col min="11804" max="12029" width="12.7109375" style="25"/>
    <col min="12030" max="12030" width="1.85546875" style="25" customWidth="1"/>
    <col min="12031" max="12031" width="2.28515625" style="25" customWidth="1"/>
    <col min="12032" max="12032" width="4.28515625" style="25" customWidth="1"/>
    <col min="12033" max="12033" width="38.7109375" style="25" customWidth="1"/>
    <col min="12034" max="12034" width="6.28515625" style="25" customWidth="1"/>
    <col min="12035" max="12035" width="12.42578125" style="25" customWidth="1"/>
    <col min="12036" max="12036" width="16.28515625" style="25" customWidth="1"/>
    <col min="12037" max="12037" width="12.7109375" style="25" bestFit="1" customWidth="1"/>
    <col min="12038" max="12038" width="12.42578125" style="25" bestFit="1" customWidth="1"/>
    <col min="12039" max="12039" width="12.7109375" style="25" bestFit="1" customWidth="1"/>
    <col min="12040" max="12045" width="0" style="25" hidden="1" customWidth="1"/>
    <col min="12046" max="12046" width="1.85546875" style="25" customWidth="1"/>
    <col min="12047" max="12047" width="11" style="25" customWidth="1"/>
    <col min="12048" max="12048" width="1.85546875" style="25" customWidth="1"/>
    <col min="12049" max="12057" width="11" style="25" customWidth="1"/>
    <col min="12058" max="12059" width="1.85546875" style="25" customWidth="1"/>
    <col min="12060" max="12285" width="12.7109375" style="25"/>
    <col min="12286" max="12286" width="1.85546875" style="25" customWidth="1"/>
    <col min="12287" max="12287" width="2.28515625" style="25" customWidth="1"/>
    <col min="12288" max="12288" width="4.28515625" style="25" customWidth="1"/>
    <col min="12289" max="12289" width="38.7109375" style="25" customWidth="1"/>
    <col min="12290" max="12290" width="6.28515625" style="25" customWidth="1"/>
    <col min="12291" max="12291" width="12.42578125" style="25" customWidth="1"/>
    <col min="12292" max="12292" width="16.28515625" style="25" customWidth="1"/>
    <col min="12293" max="12293" width="12.7109375" style="25" bestFit="1" customWidth="1"/>
    <col min="12294" max="12294" width="12.42578125" style="25" bestFit="1" customWidth="1"/>
    <col min="12295" max="12295" width="12.7109375" style="25" bestFit="1" customWidth="1"/>
    <col min="12296" max="12301" width="0" style="25" hidden="1" customWidth="1"/>
    <col min="12302" max="12302" width="1.85546875" style="25" customWidth="1"/>
    <col min="12303" max="12303" width="11" style="25" customWidth="1"/>
    <col min="12304" max="12304" width="1.85546875" style="25" customWidth="1"/>
    <col min="12305" max="12313" width="11" style="25" customWidth="1"/>
    <col min="12314" max="12315" width="1.85546875" style="25" customWidth="1"/>
    <col min="12316" max="12541" width="12.7109375" style="25"/>
    <col min="12542" max="12542" width="1.85546875" style="25" customWidth="1"/>
    <col min="12543" max="12543" width="2.28515625" style="25" customWidth="1"/>
    <col min="12544" max="12544" width="4.28515625" style="25" customWidth="1"/>
    <col min="12545" max="12545" width="38.7109375" style="25" customWidth="1"/>
    <col min="12546" max="12546" width="6.28515625" style="25" customWidth="1"/>
    <col min="12547" max="12547" width="12.42578125" style="25" customWidth="1"/>
    <col min="12548" max="12548" width="16.28515625" style="25" customWidth="1"/>
    <col min="12549" max="12549" width="12.7109375" style="25" bestFit="1" customWidth="1"/>
    <col min="12550" max="12550" width="12.42578125" style="25" bestFit="1" customWidth="1"/>
    <col min="12551" max="12551" width="12.7109375" style="25" bestFit="1" customWidth="1"/>
    <col min="12552" max="12557" width="0" style="25" hidden="1" customWidth="1"/>
    <col min="12558" max="12558" width="1.85546875" style="25" customWidth="1"/>
    <col min="12559" max="12559" width="11" style="25" customWidth="1"/>
    <col min="12560" max="12560" width="1.85546875" style="25" customWidth="1"/>
    <col min="12561" max="12569" width="11" style="25" customWidth="1"/>
    <col min="12570" max="12571" width="1.85546875" style="25" customWidth="1"/>
    <col min="12572" max="12797" width="12.7109375" style="25"/>
    <col min="12798" max="12798" width="1.85546875" style="25" customWidth="1"/>
    <col min="12799" max="12799" width="2.28515625" style="25" customWidth="1"/>
    <col min="12800" max="12800" width="4.28515625" style="25" customWidth="1"/>
    <col min="12801" max="12801" width="38.7109375" style="25" customWidth="1"/>
    <col min="12802" max="12802" width="6.28515625" style="25" customWidth="1"/>
    <col min="12803" max="12803" width="12.42578125" style="25" customWidth="1"/>
    <col min="12804" max="12804" width="16.28515625" style="25" customWidth="1"/>
    <col min="12805" max="12805" width="12.7109375" style="25" bestFit="1" customWidth="1"/>
    <col min="12806" max="12806" width="12.42578125" style="25" bestFit="1" customWidth="1"/>
    <col min="12807" max="12807" width="12.7109375" style="25" bestFit="1" customWidth="1"/>
    <col min="12808" max="12813" width="0" style="25" hidden="1" customWidth="1"/>
    <col min="12814" max="12814" width="1.85546875" style="25" customWidth="1"/>
    <col min="12815" max="12815" width="11" style="25" customWidth="1"/>
    <col min="12816" max="12816" width="1.85546875" style="25" customWidth="1"/>
    <col min="12817" max="12825" width="11" style="25" customWidth="1"/>
    <col min="12826" max="12827" width="1.85546875" style="25" customWidth="1"/>
    <col min="12828" max="13053" width="12.7109375" style="25"/>
    <col min="13054" max="13054" width="1.85546875" style="25" customWidth="1"/>
    <col min="13055" max="13055" width="2.28515625" style="25" customWidth="1"/>
    <col min="13056" max="13056" width="4.28515625" style="25" customWidth="1"/>
    <col min="13057" max="13057" width="38.7109375" style="25" customWidth="1"/>
    <col min="13058" max="13058" width="6.28515625" style="25" customWidth="1"/>
    <col min="13059" max="13059" width="12.42578125" style="25" customWidth="1"/>
    <col min="13060" max="13060" width="16.28515625" style="25" customWidth="1"/>
    <col min="13061" max="13061" width="12.7109375" style="25" bestFit="1" customWidth="1"/>
    <col min="13062" max="13062" width="12.42578125" style="25" bestFit="1" customWidth="1"/>
    <col min="13063" max="13063" width="12.7109375" style="25" bestFit="1" customWidth="1"/>
    <col min="13064" max="13069" width="0" style="25" hidden="1" customWidth="1"/>
    <col min="13070" max="13070" width="1.85546875" style="25" customWidth="1"/>
    <col min="13071" max="13071" width="11" style="25" customWidth="1"/>
    <col min="13072" max="13072" width="1.85546875" style="25" customWidth="1"/>
    <col min="13073" max="13081" width="11" style="25" customWidth="1"/>
    <col min="13082" max="13083" width="1.85546875" style="25" customWidth="1"/>
    <col min="13084" max="13309" width="12.7109375" style="25"/>
    <col min="13310" max="13310" width="1.85546875" style="25" customWidth="1"/>
    <col min="13311" max="13311" width="2.28515625" style="25" customWidth="1"/>
    <col min="13312" max="13312" width="4.28515625" style="25" customWidth="1"/>
    <col min="13313" max="13313" width="38.7109375" style="25" customWidth="1"/>
    <col min="13314" max="13314" width="6.28515625" style="25" customWidth="1"/>
    <col min="13315" max="13315" width="12.42578125" style="25" customWidth="1"/>
    <col min="13316" max="13316" width="16.28515625" style="25" customWidth="1"/>
    <col min="13317" max="13317" width="12.7109375" style="25" bestFit="1" customWidth="1"/>
    <col min="13318" max="13318" width="12.42578125" style="25" bestFit="1" customWidth="1"/>
    <col min="13319" max="13319" width="12.7109375" style="25" bestFit="1" customWidth="1"/>
    <col min="13320" max="13325" width="0" style="25" hidden="1" customWidth="1"/>
    <col min="13326" max="13326" width="1.85546875" style="25" customWidth="1"/>
    <col min="13327" max="13327" width="11" style="25" customWidth="1"/>
    <col min="13328" max="13328" width="1.85546875" style="25" customWidth="1"/>
    <col min="13329" max="13337" width="11" style="25" customWidth="1"/>
    <col min="13338" max="13339" width="1.85546875" style="25" customWidth="1"/>
    <col min="13340" max="13565" width="12.7109375" style="25"/>
    <col min="13566" max="13566" width="1.85546875" style="25" customWidth="1"/>
    <col min="13567" max="13567" width="2.28515625" style="25" customWidth="1"/>
    <col min="13568" max="13568" width="4.28515625" style="25" customWidth="1"/>
    <col min="13569" max="13569" width="38.7109375" style="25" customWidth="1"/>
    <col min="13570" max="13570" width="6.28515625" style="25" customWidth="1"/>
    <col min="13571" max="13571" width="12.42578125" style="25" customWidth="1"/>
    <col min="13572" max="13572" width="16.28515625" style="25" customWidth="1"/>
    <col min="13573" max="13573" width="12.7109375" style="25" bestFit="1" customWidth="1"/>
    <col min="13574" max="13574" width="12.42578125" style="25" bestFit="1" customWidth="1"/>
    <col min="13575" max="13575" width="12.7109375" style="25" bestFit="1" customWidth="1"/>
    <col min="13576" max="13581" width="0" style="25" hidden="1" customWidth="1"/>
    <col min="13582" max="13582" width="1.85546875" style="25" customWidth="1"/>
    <col min="13583" max="13583" width="11" style="25" customWidth="1"/>
    <col min="13584" max="13584" width="1.85546875" style="25" customWidth="1"/>
    <col min="13585" max="13593" width="11" style="25" customWidth="1"/>
    <col min="13594" max="13595" width="1.85546875" style="25" customWidth="1"/>
    <col min="13596" max="13821" width="12.7109375" style="25"/>
    <col min="13822" max="13822" width="1.85546875" style="25" customWidth="1"/>
    <col min="13823" max="13823" width="2.28515625" style="25" customWidth="1"/>
    <col min="13824" max="13824" width="4.28515625" style="25" customWidth="1"/>
    <col min="13825" max="13825" width="38.7109375" style="25" customWidth="1"/>
    <col min="13826" max="13826" width="6.28515625" style="25" customWidth="1"/>
    <col min="13827" max="13827" width="12.42578125" style="25" customWidth="1"/>
    <col min="13828" max="13828" width="16.28515625" style="25" customWidth="1"/>
    <col min="13829" max="13829" width="12.7109375" style="25" bestFit="1" customWidth="1"/>
    <col min="13830" max="13830" width="12.42578125" style="25" bestFit="1" customWidth="1"/>
    <col min="13831" max="13831" width="12.7109375" style="25" bestFit="1" customWidth="1"/>
    <col min="13832" max="13837" width="0" style="25" hidden="1" customWidth="1"/>
    <col min="13838" max="13838" width="1.85546875" style="25" customWidth="1"/>
    <col min="13839" max="13839" width="11" style="25" customWidth="1"/>
    <col min="13840" max="13840" width="1.85546875" style="25" customWidth="1"/>
    <col min="13841" max="13849" width="11" style="25" customWidth="1"/>
    <col min="13850" max="13851" width="1.85546875" style="25" customWidth="1"/>
    <col min="13852" max="14077" width="12.7109375" style="25"/>
    <col min="14078" max="14078" width="1.85546875" style="25" customWidth="1"/>
    <col min="14079" max="14079" width="2.28515625" style="25" customWidth="1"/>
    <col min="14080" max="14080" width="4.28515625" style="25" customWidth="1"/>
    <col min="14081" max="14081" width="38.7109375" style="25" customWidth="1"/>
    <col min="14082" max="14082" width="6.28515625" style="25" customWidth="1"/>
    <col min="14083" max="14083" width="12.42578125" style="25" customWidth="1"/>
    <col min="14084" max="14084" width="16.28515625" style="25" customWidth="1"/>
    <col min="14085" max="14085" width="12.7109375" style="25" bestFit="1" customWidth="1"/>
    <col min="14086" max="14086" width="12.42578125" style="25" bestFit="1" customWidth="1"/>
    <col min="14087" max="14087" width="12.7109375" style="25" bestFit="1" customWidth="1"/>
    <col min="14088" max="14093" width="0" style="25" hidden="1" customWidth="1"/>
    <col min="14094" max="14094" width="1.85546875" style="25" customWidth="1"/>
    <col min="14095" max="14095" width="11" style="25" customWidth="1"/>
    <col min="14096" max="14096" width="1.85546875" style="25" customWidth="1"/>
    <col min="14097" max="14105" width="11" style="25" customWidth="1"/>
    <col min="14106" max="14107" width="1.85546875" style="25" customWidth="1"/>
    <col min="14108" max="14333" width="12.7109375" style="25"/>
    <col min="14334" max="14334" width="1.85546875" style="25" customWidth="1"/>
    <col min="14335" max="14335" width="2.28515625" style="25" customWidth="1"/>
    <col min="14336" max="14336" width="4.28515625" style="25" customWidth="1"/>
    <col min="14337" max="14337" width="38.7109375" style="25" customWidth="1"/>
    <col min="14338" max="14338" width="6.28515625" style="25" customWidth="1"/>
    <col min="14339" max="14339" width="12.42578125" style="25" customWidth="1"/>
    <col min="14340" max="14340" width="16.28515625" style="25" customWidth="1"/>
    <col min="14341" max="14341" width="12.7109375" style="25" bestFit="1" customWidth="1"/>
    <col min="14342" max="14342" width="12.42578125" style="25" bestFit="1" customWidth="1"/>
    <col min="14343" max="14343" width="12.7109375" style="25" bestFit="1" customWidth="1"/>
    <col min="14344" max="14349" width="0" style="25" hidden="1" customWidth="1"/>
    <col min="14350" max="14350" width="1.85546875" style="25" customWidth="1"/>
    <col min="14351" max="14351" width="11" style="25" customWidth="1"/>
    <col min="14352" max="14352" width="1.85546875" style="25" customWidth="1"/>
    <col min="14353" max="14361" width="11" style="25" customWidth="1"/>
    <col min="14362" max="14363" width="1.85546875" style="25" customWidth="1"/>
    <col min="14364" max="14589" width="12.7109375" style="25"/>
    <col min="14590" max="14590" width="1.85546875" style="25" customWidth="1"/>
    <col min="14591" max="14591" width="2.28515625" style="25" customWidth="1"/>
    <col min="14592" max="14592" width="4.28515625" style="25" customWidth="1"/>
    <col min="14593" max="14593" width="38.7109375" style="25" customWidth="1"/>
    <col min="14594" max="14594" width="6.28515625" style="25" customWidth="1"/>
    <col min="14595" max="14595" width="12.42578125" style="25" customWidth="1"/>
    <col min="14596" max="14596" width="16.28515625" style="25" customWidth="1"/>
    <col min="14597" max="14597" width="12.7109375" style="25" bestFit="1" customWidth="1"/>
    <col min="14598" max="14598" width="12.42578125" style="25" bestFit="1" customWidth="1"/>
    <col min="14599" max="14599" width="12.7109375" style="25" bestFit="1" customWidth="1"/>
    <col min="14600" max="14605" width="0" style="25" hidden="1" customWidth="1"/>
    <col min="14606" max="14606" width="1.85546875" style="25" customWidth="1"/>
    <col min="14607" max="14607" width="11" style="25" customWidth="1"/>
    <col min="14608" max="14608" width="1.85546875" style="25" customWidth="1"/>
    <col min="14609" max="14617" width="11" style="25" customWidth="1"/>
    <col min="14618" max="14619" width="1.85546875" style="25" customWidth="1"/>
    <col min="14620" max="14845" width="12.7109375" style="25"/>
    <col min="14846" max="14846" width="1.85546875" style="25" customWidth="1"/>
    <col min="14847" max="14847" width="2.28515625" style="25" customWidth="1"/>
    <col min="14848" max="14848" width="4.28515625" style="25" customWidth="1"/>
    <col min="14849" max="14849" width="38.7109375" style="25" customWidth="1"/>
    <col min="14850" max="14850" width="6.28515625" style="25" customWidth="1"/>
    <col min="14851" max="14851" width="12.42578125" style="25" customWidth="1"/>
    <col min="14852" max="14852" width="16.28515625" style="25" customWidth="1"/>
    <col min="14853" max="14853" width="12.7109375" style="25" bestFit="1" customWidth="1"/>
    <col min="14854" max="14854" width="12.42578125" style="25" bestFit="1" customWidth="1"/>
    <col min="14855" max="14855" width="12.7109375" style="25" bestFit="1" customWidth="1"/>
    <col min="14856" max="14861" width="0" style="25" hidden="1" customWidth="1"/>
    <col min="14862" max="14862" width="1.85546875" style="25" customWidth="1"/>
    <col min="14863" max="14863" width="11" style="25" customWidth="1"/>
    <col min="14864" max="14864" width="1.85546875" style="25" customWidth="1"/>
    <col min="14865" max="14873" width="11" style="25" customWidth="1"/>
    <col min="14874" max="14875" width="1.85546875" style="25" customWidth="1"/>
    <col min="14876" max="15101" width="12.7109375" style="25"/>
    <col min="15102" max="15102" width="1.85546875" style="25" customWidth="1"/>
    <col min="15103" max="15103" width="2.28515625" style="25" customWidth="1"/>
    <col min="15104" max="15104" width="4.28515625" style="25" customWidth="1"/>
    <col min="15105" max="15105" width="38.7109375" style="25" customWidth="1"/>
    <col min="15106" max="15106" width="6.28515625" style="25" customWidth="1"/>
    <col min="15107" max="15107" width="12.42578125" style="25" customWidth="1"/>
    <col min="15108" max="15108" width="16.28515625" style="25" customWidth="1"/>
    <col min="15109" max="15109" width="12.7109375" style="25" bestFit="1" customWidth="1"/>
    <col min="15110" max="15110" width="12.42578125" style="25" bestFit="1" customWidth="1"/>
    <col min="15111" max="15111" width="12.7109375" style="25" bestFit="1" customWidth="1"/>
    <col min="15112" max="15117" width="0" style="25" hidden="1" customWidth="1"/>
    <col min="15118" max="15118" width="1.85546875" style="25" customWidth="1"/>
    <col min="15119" max="15119" width="11" style="25" customWidth="1"/>
    <col min="15120" max="15120" width="1.85546875" style="25" customWidth="1"/>
    <col min="15121" max="15129" width="11" style="25" customWidth="1"/>
    <col min="15130" max="15131" width="1.85546875" style="25" customWidth="1"/>
    <col min="15132" max="15357" width="12.7109375" style="25"/>
    <col min="15358" max="15358" width="1.85546875" style="25" customWidth="1"/>
    <col min="15359" max="15359" width="2.28515625" style="25" customWidth="1"/>
    <col min="15360" max="15360" width="4.28515625" style="25" customWidth="1"/>
    <col min="15361" max="15361" width="38.7109375" style="25" customWidth="1"/>
    <col min="15362" max="15362" width="6.28515625" style="25" customWidth="1"/>
    <col min="15363" max="15363" width="12.42578125" style="25" customWidth="1"/>
    <col min="15364" max="15364" width="16.28515625" style="25" customWidth="1"/>
    <col min="15365" max="15365" width="12.7109375" style="25" bestFit="1" customWidth="1"/>
    <col min="15366" max="15366" width="12.42578125" style="25" bestFit="1" customWidth="1"/>
    <col min="15367" max="15367" width="12.7109375" style="25" bestFit="1" customWidth="1"/>
    <col min="15368" max="15373" width="0" style="25" hidden="1" customWidth="1"/>
    <col min="15374" max="15374" width="1.85546875" style="25" customWidth="1"/>
    <col min="15375" max="15375" width="11" style="25" customWidth="1"/>
    <col min="15376" max="15376" width="1.85546875" style="25" customWidth="1"/>
    <col min="15377" max="15385" width="11" style="25" customWidth="1"/>
    <col min="15386" max="15387" width="1.85546875" style="25" customWidth="1"/>
    <col min="15388" max="15613" width="12.7109375" style="25"/>
    <col min="15614" max="15614" width="1.85546875" style="25" customWidth="1"/>
    <col min="15615" max="15615" width="2.28515625" style="25" customWidth="1"/>
    <col min="15616" max="15616" width="4.28515625" style="25" customWidth="1"/>
    <col min="15617" max="15617" width="38.7109375" style="25" customWidth="1"/>
    <col min="15618" max="15618" width="6.28515625" style="25" customWidth="1"/>
    <col min="15619" max="15619" width="12.42578125" style="25" customWidth="1"/>
    <col min="15620" max="15620" width="16.28515625" style="25" customWidth="1"/>
    <col min="15621" max="15621" width="12.7109375" style="25" bestFit="1" customWidth="1"/>
    <col min="15622" max="15622" width="12.42578125" style="25" bestFit="1" customWidth="1"/>
    <col min="15623" max="15623" width="12.7109375" style="25" bestFit="1" customWidth="1"/>
    <col min="15624" max="15629" width="0" style="25" hidden="1" customWidth="1"/>
    <col min="15630" max="15630" width="1.85546875" style="25" customWidth="1"/>
    <col min="15631" max="15631" width="11" style="25" customWidth="1"/>
    <col min="15632" max="15632" width="1.85546875" style="25" customWidth="1"/>
    <col min="15633" max="15641" width="11" style="25" customWidth="1"/>
    <col min="15642" max="15643" width="1.85546875" style="25" customWidth="1"/>
    <col min="15644" max="15869" width="12.7109375" style="25"/>
    <col min="15870" max="15870" width="1.85546875" style="25" customWidth="1"/>
    <col min="15871" max="15871" width="2.28515625" style="25" customWidth="1"/>
    <col min="15872" max="15872" width="4.28515625" style="25" customWidth="1"/>
    <col min="15873" max="15873" width="38.7109375" style="25" customWidth="1"/>
    <col min="15874" max="15874" width="6.28515625" style="25" customWidth="1"/>
    <col min="15875" max="15875" width="12.42578125" style="25" customWidth="1"/>
    <col min="15876" max="15876" width="16.28515625" style="25" customWidth="1"/>
    <col min="15877" max="15877" width="12.7109375" style="25" bestFit="1" customWidth="1"/>
    <col min="15878" max="15878" width="12.42578125" style="25" bestFit="1" customWidth="1"/>
    <col min="15879" max="15879" width="12.7109375" style="25" bestFit="1" customWidth="1"/>
    <col min="15880" max="15885" width="0" style="25" hidden="1" customWidth="1"/>
    <col min="15886" max="15886" width="1.85546875" style="25" customWidth="1"/>
    <col min="15887" max="15887" width="11" style="25" customWidth="1"/>
    <col min="15888" max="15888" width="1.85546875" style="25" customWidth="1"/>
    <col min="15889" max="15897" width="11" style="25" customWidth="1"/>
    <col min="15898" max="15899" width="1.85546875" style="25" customWidth="1"/>
    <col min="15900" max="16125" width="12.7109375" style="25"/>
    <col min="16126" max="16126" width="1.85546875" style="25" customWidth="1"/>
    <col min="16127" max="16127" width="2.28515625" style="25" customWidth="1"/>
    <col min="16128" max="16128" width="4.28515625" style="25" customWidth="1"/>
    <col min="16129" max="16129" width="38.7109375" style="25" customWidth="1"/>
    <col min="16130" max="16130" width="6.28515625" style="25" customWidth="1"/>
    <col min="16131" max="16131" width="12.42578125" style="25" customWidth="1"/>
    <col min="16132" max="16132" width="16.28515625" style="25" customWidth="1"/>
    <col min="16133" max="16133" width="12.7109375" style="25" bestFit="1" customWidth="1"/>
    <col min="16134" max="16134" width="12.42578125" style="25" bestFit="1" customWidth="1"/>
    <col min="16135" max="16135" width="12.7109375" style="25" bestFit="1" customWidth="1"/>
    <col min="16136" max="16141" width="0" style="25" hidden="1" customWidth="1"/>
    <col min="16142" max="16142" width="1.85546875" style="25" customWidth="1"/>
    <col min="16143" max="16143" width="11" style="25" customWidth="1"/>
    <col min="16144" max="16144" width="1.85546875" style="25" customWidth="1"/>
    <col min="16145" max="16153" width="11" style="25" customWidth="1"/>
    <col min="16154" max="16155" width="1.85546875" style="25" customWidth="1"/>
    <col min="16156" max="16384" width="12.7109375" style="25"/>
  </cols>
  <sheetData>
    <row r="1" spans="1:16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1:16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6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6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3"/>
    </row>
    <row r="5" spans="1:16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</row>
    <row r="6" spans="1:16" x14ac:dyDescent="0.25">
      <c r="A6" s="22"/>
      <c r="B6" s="100" t="s">
        <v>51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3"/>
    </row>
    <row r="7" spans="1:16" x14ac:dyDescent="0.25">
      <c r="A7" s="22"/>
      <c r="B7" s="100" t="s">
        <v>82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3"/>
    </row>
    <row r="8" spans="1:16" x14ac:dyDescent="0.25">
      <c r="A8" s="22"/>
      <c r="B8" s="101" t="s">
        <v>65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</row>
    <row r="9" spans="1:16" x14ac:dyDescent="0.25">
      <c r="A9" s="22"/>
      <c r="B9" s="101" t="s">
        <v>64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3"/>
    </row>
    <row r="10" spans="1:16" x14ac:dyDescent="0.25">
      <c r="A10" s="22"/>
      <c r="B10" s="101" t="s">
        <v>63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3"/>
    </row>
    <row r="11" spans="1:16" x14ac:dyDescent="0.25">
      <c r="A11" s="22"/>
      <c r="B11" s="101" t="s">
        <v>71</v>
      </c>
      <c r="C11" s="225">
        <f>'Dados - Premissas'!C35</f>
        <v>0.02</v>
      </c>
      <c r="D11" s="22"/>
      <c r="E11" s="22"/>
      <c r="F11" s="22"/>
      <c r="G11" s="22"/>
      <c r="H11" s="268"/>
      <c r="I11" s="268"/>
      <c r="J11" s="22"/>
      <c r="K11" s="22"/>
      <c r="L11" s="22"/>
      <c r="M11" s="22"/>
      <c r="N11" s="22"/>
      <c r="O11" s="22"/>
      <c r="P11" s="23"/>
    </row>
    <row r="12" spans="1:16" x14ac:dyDescent="0.25">
      <c r="A12" s="22"/>
      <c r="B12" s="101" t="s">
        <v>123</v>
      </c>
      <c r="C12" s="225">
        <f>'Dados - Premissas'!C36</f>
        <v>0.2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3"/>
    </row>
    <row r="13" spans="1:16" x14ac:dyDescent="0.25">
      <c r="A13" s="22"/>
      <c r="B13" s="101" t="s">
        <v>83</v>
      </c>
      <c r="C13" s="225">
        <f>'Dados - Premissas'!C23</f>
        <v>0.34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1:16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3"/>
    </row>
    <row r="15" spans="1:16" s="3" customFormat="1" x14ac:dyDescent="0.25">
      <c r="A15" s="23"/>
      <c r="B15" s="109"/>
      <c r="C15" s="110"/>
      <c r="D15" s="110"/>
      <c r="E15" s="292" t="s">
        <v>40</v>
      </c>
      <c r="F15" s="292"/>
      <c r="G15" s="292"/>
      <c r="H15" s="292"/>
      <c r="I15" s="292"/>
      <c r="J15" s="292"/>
      <c r="K15" s="292"/>
      <c r="L15" s="292"/>
      <c r="M15" s="292"/>
      <c r="N15" s="292"/>
      <c r="O15" s="28"/>
      <c r="P15" s="23"/>
    </row>
    <row r="16" spans="1:16" s="14" customFormat="1" x14ac:dyDescent="0.25">
      <c r="A16" s="23"/>
      <c r="B16" s="111" t="s">
        <v>50</v>
      </c>
      <c r="C16" s="65"/>
      <c r="D16" s="102">
        <v>2016</v>
      </c>
      <c r="E16" s="102" t="s">
        <v>16</v>
      </c>
      <c r="F16" s="102" t="s">
        <v>17</v>
      </c>
      <c r="G16" s="102" t="s">
        <v>18</v>
      </c>
      <c r="H16" s="102" t="s">
        <v>19</v>
      </c>
      <c r="I16" s="102" t="s">
        <v>20</v>
      </c>
      <c r="J16" s="102" t="s">
        <v>129</v>
      </c>
      <c r="K16" s="102" t="s">
        <v>130</v>
      </c>
      <c r="L16" s="102" t="s">
        <v>131</v>
      </c>
      <c r="M16" s="102" t="s">
        <v>132</v>
      </c>
      <c r="N16" s="112" t="s">
        <v>133</v>
      </c>
      <c r="O16" s="28"/>
      <c r="P16" s="23"/>
    </row>
    <row r="17" spans="1:16" s="14" customFormat="1" x14ac:dyDescent="0.25">
      <c r="A17" s="23"/>
      <c r="B17" s="113"/>
      <c r="C17" s="2"/>
      <c r="D17" s="2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47"/>
      <c r="P17" s="23"/>
    </row>
    <row r="18" spans="1:16" s="14" customFormat="1" x14ac:dyDescent="0.25">
      <c r="A18" s="23"/>
      <c r="B18" s="113" t="s">
        <v>57</v>
      </c>
      <c r="C18" s="68"/>
      <c r="D18" s="69">
        <f>'Dados - Premissas'!C15</f>
        <v>100</v>
      </c>
      <c r="E18" s="69">
        <f>D18*(1+E19)</f>
        <v>102</v>
      </c>
      <c r="F18" s="69">
        <f t="shared" ref="F18:I18" si="0">E18*(1+F19)</f>
        <v>104.04</v>
      </c>
      <c r="G18" s="69">
        <f t="shared" si="0"/>
        <v>106.1208</v>
      </c>
      <c r="H18" s="69">
        <f t="shared" si="0"/>
        <v>108.243216</v>
      </c>
      <c r="I18" s="69">
        <f t="shared" si="0"/>
        <v>110.40808032000001</v>
      </c>
      <c r="J18" s="69">
        <f t="shared" ref="J18" si="1">I18*(1+J19)</f>
        <v>112.61624192640001</v>
      </c>
      <c r="K18" s="69">
        <f t="shared" ref="K18" si="2">J18*(1+K19)</f>
        <v>114.868566764928</v>
      </c>
      <c r="L18" s="69">
        <f t="shared" ref="L18" si="3">K18*(1+L19)</f>
        <v>117.16593810022657</v>
      </c>
      <c r="M18" s="69">
        <f t="shared" ref="M18" si="4">L18*(1+M19)</f>
        <v>119.5092568622311</v>
      </c>
      <c r="N18" s="69">
        <f t="shared" ref="N18" si="5">M18*(1+N19)</f>
        <v>121.89944199947573</v>
      </c>
      <c r="O18" s="247"/>
      <c r="P18" s="23"/>
    </row>
    <row r="19" spans="1:16" s="67" customFormat="1" x14ac:dyDescent="0.25">
      <c r="A19" s="66"/>
      <c r="B19" s="115" t="s">
        <v>52</v>
      </c>
      <c r="C19" s="70"/>
      <c r="D19" s="70"/>
      <c r="E19" s="225">
        <f>$C$11</f>
        <v>0.02</v>
      </c>
      <c r="F19" s="225">
        <f>$C$11</f>
        <v>0.02</v>
      </c>
      <c r="G19" s="225">
        <f>$C$11</f>
        <v>0.02</v>
      </c>
      <c r="H19" s="225">
        <f>$C$11</f>
        <v>0.02</v>
      </c>
      <c r="I19" s="225">
        <f>$C$11</f>
        <v>0.02</v>
      </c>
      <c r="J19" s="225">
        <f t="shared" ref="J19:N19" si="6">$C$11</f>
        <v>0.02</v>
      </c>
      <c r="K19" s="225">
        <f t="shared" si="6"/>
        <v>0.02</v>
      </c>
      <c r="L19" s="225">
        <f t="shared" si="6"/>
        <v>0.02</v>
      </c>
      <c r="M19" s="225">
        <f t="shared" si="6"/>
        <v>0.02</v>
      </c>
      <c r="N19" s="225">
        <f t="shared" si="6"/>
        <v>0.02</v>
      </c>
      <c r="O19" s="248"/>
      <c r="P19" s="23"/>
    </row>
    <row r="20" spans="1:16" s="14" customFormat="1" x14ac:dyDescent="0.25">
      <c r="A20" s="23"/>
      <c r="B20" s="113"/>
      <c r="C20" s="68"/>
      <c r="D20" s="68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247"/>
      <c r="P20" s="23"/>
    </row>
    <row r="21" spans="1:16" s="14" customFormat="1" x14ac:dyDescent="0.25">
      <c r="A21" s="23"/>
      <c r="B21" s="113" t="s">
        <v>58</v>
      </c>
      <c r="C21" s="68"/>
      <c r="D21" s="69">
        <f>'Dados - Premissas'!C16*12</f>
        <v>11760</v>
      </c>
      <c r="E21" s="69">
        <f>D21</f>
        <v>11760</v>
      </c>
      <c r="F21" s="69">
        <f t="shared" ref="F21:I21" si="7">E21</f>
        <v>11760</v>
      </c>
      <c r="G21" s="69">
        <f t="shared" si="7"/>
        <v>11760</v>
      </c>
      <c r="H21" s="69">
        <f t="shared" si="7"/>
        <v>11760</v>
      </c>
      <c r="I21" s="69">
        <f t="shared" si="7"/>
        <v>11760</v>
      </c>
      <c r="J21" s="69">
        <f t="shared" ref="J21" si="8">I21</f>
        <v>11760</v>
      </c>
      <c r="K21" s="69">
        <f t="shared" ref="K21" si="9">J21</f>
        <v>11760</v>
      </c>
      <c r="L21" s="69">
        <f t="shared" ref="L21" si="10">K21</f>
        <v>11760</v>
      </c>
      <c r="M21" s="69">
        <f t="shared" ref="M21" si="11">L21</f>
        <v>11760</v>
      </c>
      <c r="N21" s="69">
        <f t="shared" ref="N21" si="12">M21</f>
        <v>11760</v>
      </c>
      <c r="O21" s="247"/>
      <c r="P21" s="23"/>
    </row>
    <row r="22" spans="1:16" s="14" customFormat="1" x14ac:dyDescent="0.25">
      <c r="A22" s="23"/>
      <c r="B22" s="113"/>
      <c r="C22" s="68"/>
      <c r="D22" s="68"/>
      <c r="E22" s="72"/>
      <c r="F22" s="72"/>
      <c r="G22" s="72"/>
      <c r="H22" s="72"/>
      <c r="I22" s="72"/>
      <c r="J22" s="72"/>
      <c r="K22" s="72"/>
      <c r="L22" s="72"/>
      <c r="M22" s="72"/>
      <c r="N22" s="116"/>
      <c r="O22" s="29"/>
      <c r="P22" s="23"/>
    </row>
    <row r="23" spans="1:16" s="14" customFormat="1" x14ac:dyDescent="0.25">
      <c r="A23" s="23"/>
      <c r="B23" s="117" t="s">
        <v>53</v>
      </c>
      <c r="C23" s="73"/>
      <c r="D23" s="97">
        <f>D18*D21</f>
        <v>1176000</v>
      </c>
      <c r="E23" s="97">
        <f>E18*E21</f>
        <v>1199520</v>
      </c>
      <c r="F23" s="97">
        <f t="shared" ref="F23:I23" si="13">F18*F21</f>
        <v>1223510.4000000001</v>
      </c>
      <c r="G23" s="97">
        <f t="shared" si="13"/>
        <v>1247980.608</v>
      </c>
      <c r="H23" s="97">
        <f t="shared" si="13"/>
        <v>1272940.22016</v>
      </c>
      <c r="I23" s="245">
        <f t="shared" si="13"/>
        <v>1298399.0245632001</v>
      </c>
      <c r="J23" s="245">
        <f t="shared" ref="J23:N23" si="14">J18*J21</f>
        <v>1324367.0050544641</v>
      </c>
      <c r="K23" s="245">
        <f t="shared" si="14"/>
        <v>1350854.3451555534</v>
      </c>
      <c r="L23" s="245">
        <f t="shared" si="14"/>
        <v>1377871.4320586645</v>
      </c>
      <c r="M23" s="245">
        <f t="shared" si="14"/>
        <v>1405428.8606998378</v>
      </c>
      <c r="N23" s="118">
        <f t="shared" si="14"/>
        <v>1433537.4379138346</v>
      </c>
      <c r="O23" s="30"/>
      <c r="P23" s="31"/>
    </row>
    <row r="24" spans="1:16" s="3" customFormat="1" x14ac:dyDescent="0.25">
      <c r="A24" s="2"/>
      <c r="B24" s="119" t="s">
        <v>39</v>
      </c>
      <c r="C24" s="74"/>
      <c r="D24" s="96" t="s">
        <v>54</v>
      </c>
      <c r="E24" s="74">
        <f>IF((E23/D23)&lt;0,"0",(E23/D23-1))</f>
        <v>2.0000000000000018E-2</v>
      </c>
      <c r="F24" s="74">
        <f>IF((F23/E23)&lt;0,"0",(F23/E23-1))</f>
        <v>2.0000000000000018E-2</v>
      </c>
      <c r="G24" s="74">
        <f>IF((G23/F23)&lt;0,"0",(G23/F23-1))</f>
        <v>1.9999999999999796E-2</v>
      </c>
      <c r="H24" s="74">
        <f>IF((H23/G23)&lt;0,"0",(H23/G23-1))</f>
        <v>2.0000000000000018E-2</v>
      </c>
      <c r="I24" s="74">
        <f>IF((I23/H23)&lt;0,"0",(I23/H23-1))</f>
        <v>2.0000000000000018E-2</v>
      </c>
      <c r="J24" s="74">
        <f t="shared" ref="J24:N24" si="15">IF((J23/I23)&lt;0,"0",(J23/I23-1))</f>
        <v>2.0000000000000018E-2</v>
      </c>
      <c r="K24" s="74">
        <f t="shared" si="15"/>
        <v>2.0000000000000018E-2</v>
      </c>
      <c r="L24" s="74">
        <f t="shared" si="15"/>
        <v>2.0000000000000018E-2</v>
      </c>
      <c r="M24" s="74">
        <f t="shared" si="15"/>
        <v>2.0000000000000018E-2</v>
      </c>
      <c r="N24" s="120">
        <f t="shared" si="15"/>
        <v>2.0000000000000018E-2</v>
      </c>
      <c r="O24" s="2"/>
      <c r="P24" s="2"/>
    </row>
    <row r="25" spans="1:16" s="3" customFormat="1" x14ac:dyDescent="0.25">
      <c r="A25" s="23"/>
      <c r="B25" s="117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121"/>
      <c r="O25" s="33"/>
      <c r="P25" s="23"/>
    </row>
    <row r="26" spans="1:16" s="3" customFormat="1" x14ac:dyDescent="0.25">
      <c r="A26" s="23"/>
      <c r="B26" s="122" t="s">
        <v>59</v>
      </c>
      <c r="C26" s="234">
        <f>'Dados - Premissas'!C20</f>
        <v>1.6500000000000001E-2</v>
      </c>
      <c r="D26" s="75">
        <f>-D$23*$C26</f>
        <v>-19404</v>
      </c>
      <c r="E26" s="75">
        <f t="shared" ref="E26:N28" si="16">-E$23*$C26</f>
        <v>-19792.080000000002</v>
      </c>
      <c r="F26" s="75">
        <f t="shared" si="16"/>
        <v>-20187.921600000001</v>
      </c>
      <c r="G26" s="75">
        <f t="shared" si="16"/>
        <v>-20591.680032</v>
      </c>
      <c r="H26" s="75">
        <f t="shared" si="16"/>
        <v>-21003.513632640002</v>
      </c>
      <c r="I26" s="75">
        <f t="shared" si="16"/>
        <v>-21423.583905292802</v>
      </c>
      <c r="J26" s="75">
        <f t="shared" si="16"/>
        <v>-21852.055583398658</v>
      </c>
      <c r="K26" s="75">
        <f t="shared" si="16"/>
        <v>-22289.096695066633</v>
      </c>
      <c r="L26" s="75">
        <f t="shared" si="16"/>
        <v>-22734.878628967967</v>
      </c>
      <c r="M26" s="75">
        <f t="shared" si="16"/>
        <v>-23189.576201547326</v>
      </c>
      <c r="N26" s="123">
        <f t="shared" si="16"/>
        <v>-23653.367725578271</v>
      </c>
      <c r="O26" s="75"/>
      <c r="P26" s="23"/>
    </row>
    <row r="27" spans="1:16" s="3" customFormat="1" x14ac:dyDescent="0.25">
      <c r="A27" s="23"/>
      <c r="B27" s="122" t="s">
        <v>60</v>
      </c>
      <c r="C27" s="234">
        <f>'Dados - Premissas'!C21</f>
        <v>7.5999999999999998E-2</v>
      </c>
      <c r="D27" s="75">
        <f>-D$23*$C27</f>
        <v>-89376</v>
      </c>
      <c r="E27" s="75">
        <f t="shared" si="16"/>
        <v>-91163.520000000004</v>
      </c>
      <c r="F27" s="75">
        <f t="shared" si="16"/>
        <v>-92986.790400000013</v>
      </c>
      <c r="G27" s="75">
        <f t="shared" si="16"/>
        <v>-94846.526207999996</v>
      </c>
      <c r="H27" s="75">
        <f t="shared" si="16"/>
        <v>-96743.456732160004</v>
      </c>
      <c r="I27" s="75">
        <f t="shared" si="16"/>
        <v>-98678.325866803207</v>
      </c>
      <c r="J27" s="75">
        <f t="shared" si="16"/>
        <v>-100651.89238413927</v>
      </c>
      <c r="K27" s="75">
        <f t="shared" si="16"/>
        <v>-102664.93023182206</v>
      </c>
      <c r="L27" s="75">
        <f t="shared" si="16"/>
        <v>-104718.2288364585</v>
      </c>
      <c r="M27" s="75">
        <f t="shared" si="16"/>
        <v>-106812.59341318767</v>
      </c>
      <c r="N27" s="123">
        <f t="shared" si="16"/>
        <v>-108948.84528145143</v>
      </c>
      <c r="O27" s="75"/>
      <c r="P27" s="23"/>
    </row>
    <row r="28" spans="1:16" s="3" customFormat="1" x14ac:dyDescent="0.25">
      <c r="A28" s="23"/>
      <c r="B28" s="122" t="s">
        <v>61</v>
      </c>
      <c r="C28" s="234">
        <f>'Dados - Premissas'!C22</f>
        <v>0.05</v>
      </c>
      <c r="D28" s="75">
        <f>-D$23*$C28</f>
        <v>-58800</v>
      </c>
      <c r="E28" s="75">
        <f t="shared" si="16"/>
        <v>-59976</v>
      </c>
      <c r="F28" s="75">
        <f t="shared" si="16"/>
        <v>-61175.520000000011</v>
      </c>
      <c r="G28" s="75">
        <f t="shared" si="16"/>
        <v>-62399.030400000003</v>
      </c>
      <c r="H28" s="75">
        <f t="shared" si="16"/>
        <v>-63647.011008000001</v>
      </c>
      <c r="I28" s="75">
        <f t="shared" si="16"/>
        <v>-64919.951228160004</v>
      </c>
      <c r="J28" s="75">
        <f t="shared" si="16"/>
        <v>-66218.350252723205</v>
      </c>
      <c r="K28" s="75">
        <f t="shared" si="16"/>
        <v>-67542.71725777768</v>
      </c>
      <c r="L28" s="75">
        <f t="shared" si="16"/>
        <v>-68893.571602933225</v>
      </c>
      <c r="M28" s="75">
        <f t="shared" si="16"/>
        <v>-70271.443034991898</v>
      </c>
      <c r="N28" s="123">
        <f t="shared" si="16"/>
        <v>-71676.871895691729</v>
      </c>
      <c r="O28" s="75"/>
      <c r="P28" s="23"/>
    </row>
    <row r="29" spans="1:16" s="3" customFormat="1" x14ac:dyDescent="0.25">
      <c r="A29" s="23"/>
      <c r="B29" s="124"/>
      <c r="C29" s="104"/>
      <c r="D29" s="69"/>
      <c r="E29" s="69"/>
      <c r="F29" s="69"/>
      <c r="G29" s="69"/>
      <c r="H29" s="69"/>
      <c r="I29" s="69"/>
      <c r="J29" s="267"/>
      <c r="K29" s="267"/>
      <c r="L29" s="267"/>
      <c r="M29" s="267"/>
      <c r="N29" s="114"/>
      <c r="O29" s="34"/>
      <c r="P29" s="23"/>
    </row>
    <row r="30" spans="1:16" s="3" customFormat="1" x14ac:dyDescent="0.25">
      <c r="A30" s="23"/>
      <c r="B30" s="117" t="s">
        <v>21</v>
      </c>
      <c r="C30" s="75"/>
      <c r="D30" s="98">
        <f>D23+SUM(D26:D28)</f>
        <v>1008420</v>
      </c>
      <c r="E30" s="98">
        <f t="shared" ref="E30:I30" si="17">E23+SUM(E26:E28)</f>
        <v>1028588.4</v>
      </c>
      <c r="F30" s="98">
        <f t="shared" si="17"/>
        <v>1049160.1680000001</v>
      </c>
      <c r="G30" s="98">
        <f t="shared" si="17"/>
        <v>1070143.37136</v>
      </c>
      <c r="H30" s="98">
        <f t="shared" si="17"/>
        <v>1091546.2387872001</v>
      </c>
      <c r="I30" s="226">
        <f t="shared" si="17"/>
        <v>1113377.1635629442</v>
      </c>
      <c r="J30" s="226">
        <f t="shared" ref="J30:N30" si="18">J23+SUM(J26:J28)</f>
        <v>1135644.7068342031</v>
      </c>
      <c r="K30" s="226">
        <f t="shared" si="18"/>
        <v>1158357.6009708871</v>
      </c>
      <c r="L30" s="226">
        <f t="shared" si="18"/>
        <v>1181524.7529903047</v>
      </c>
      <c r="M30" s="226">
        <f t="shared" si="18"/>
        <v>1205155.2480501109</v>
      </c>
      <c r="N30" s="226">
        <f t="shared" si="18"/>
        <v>1229258.3530111131</v>
      </c>
      <c r="O30" s="228"/>
      <c r="P30" s="23"/>
    </row>
    <row r="31" spans="1:16" s="3" customFormat="1" x14ac:dyDescent="0.25">
      <c r="A31" s="23"/>
      <c r="B31" s="117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229"/>
      <c r="P31" s="23"/>
    </row>
    <row r="32" spans="1:16" s="16" customFormat="1" x14ac:dyDescent="0.25">
      <c r="A32" s="99"/>
      <c r="B32" s="117" t="s">
        <v>15</v>
      </c>
      <c r="C32" s="73"/>
      <c r="D32" s="76">
        <f>SUM(D33:D38)</f>
        <v>-823200</v>
      </c>
      <c r="E32" s="76">
        <f t="shared" ref="E32:I32" si="19">SUM(E33:E38)</f>
        <v>-839664</v>
      </c>
      <c r="F32" s="76">
        <f t="shared" si="19"/>
        <v>-856457.28000000014</v>
      </c>
      <c r="G32" s="76">
        <f t="shared" si="19"/>
        <v>-873586.42560000008</v>
      </c>
      <c r="H32" s="76">
        <f t="shared" si="19"/>
        <v>-891058.15411200002</v>
      </c>
      <c r="I32" s="76">
        <f t="shared" si="19"/>
        <v>-908879.31719424005</v>
      </c>
      <c r="J32" s="76">
        <f t="shared" ref="J32:N32" si="20">SUM(J33:J38)</f>
        <v>-927056.90353812499</v>
      </c>
      <c r="K32" s="76">
        <f t="shared" si="20"/>
        <v>-945598.04160888749</v>
      </c>
      <c r="L32" s="76">
        <f t="shared" si="20"/>
        <v>-964510.00244106527</v>
      </c>
      <c r="M32" s="76">
        <f t="shared" si="20"/>
        <v>-983800.20248988655</v>
      </c>
      <c r="N32" s="76">
        <f t="shared" si="20"/>
        <v>-1003476.2065396843</v>
      </c>
      <c r="O32" s="230"/>
      <c r="P32" s="99"/>
    </row>
    <row r="33" spans="1:16" s="3" customFormat="1" x14ac:dyDescent="0.25">
      <c r="A33" s="2"/>
      <c r="B33" s="125" t="s">
        <v>22</v>
      </c>
      <c r="C33" s="225">
        <v>0.5</v>
      </c>
      <c r="D33" s="77">
        <f>-D$23*'Dados - Premissas'!$C$26</f>
        <v>-646800</v>
      </c>
      <c r="E33" s="77">
        <f>-E$23*'Dados - Premissas'!$C$26</f>
        <v>-659736</v>
      </c>
      <c r="F33" s="77">
        <f>-F$23*'Dados - Premissas'!$C$26</f>
        <v>-672930.72000000009</v>
      </c>
      <c r="G33" s="77">
        <f>-G$23*'Dados - Premissas'!$C$26</f>
        <v>-686389.33440000005</v>
      </c>
      <c r="H33" s="77">
        <f>-H$23*'Dados - Premissas'!$C$26</f>
        <v>-700117.12108800001</v>
      </c>
      <c r="I33" s="77">
        <f>-I$23*'Dados - Premissas'!$C$26</f>
        <v>-714119.4635097601</v>
      </c>
      <c r="J33" s="77">
        <f>-J$23*'Dados - Premissas'!$C$26</f>
        <v>-728401.85277995537</v>
      </c>
      <c r="K33" s="77">
        <f>-K$23*'Dados - Premissas'!$C$26</f>
        <v>-742969.88983555441</v>
      </c>
      <c r="L33" s="77">
        <f>-L$23*'Dados - Premissas'!$C$26</f>
        <v>-757829.28763226559</v>
      </c>
      <c r="M33" s="77">
        <f>-M$23*'Dados - Premissas'!$C$26</f>
        <v>-772985.87338491087</v>
      </c>
      <c r="N33" s="77">
        <f>-N$23*'Dados - Premissas'!$C$26</f>
        <v>-788445.59085260914</v>
      </c>
      <c r="O33" s="113"/>
      <c r="P33" s="2"/>
    </row>
    <row r="34" spans="1:16" s="3" customFormat="1" x14ac:dyDescent="0.25">
      <c r="A34" s="23"/>
      <c r="B34" s="125" t="s">
        <v>24</v>
      </c>
      <c r="C34" s="225">
        <v>0.05</v>
      </c>
      <c r="D34" s="77">
        <f>-D$23*'Dados - Premissas'!$C$27</f>
        <v>-58800</v>
      </c>
      <c r="E34" s="77">
        <f>-E$23*'Dados - Premissas'!$C$27</f>
        <v>-59976</v>
      </c>
      <c r="F34" s="77">
        <f>-F$23*'Dados - Premissas'!$C$27</f>
        <v>-61175.520000000011</v>
      </c>
      <c r="G34" s="77">
        <f>-G$23*'Dados - Premissas'!$C$27</f>
        <v>-62399.030400000003</v>
      </c>
      <c r="H34" s="77">
        <f>-H$23*'Dados - Premissas'!$C$27</f>
        <v>-63647.011008000001</v>
      </c>
      <c r="I34" s="77">
        <f>-I$23*'Dados - Premissas'!$C$27</f>
        <v>-64919.951228160004</v>
      </c>
      <c r="J34" s="77">
        <f>-J$23*'Dados - Premissas'!$C$27</f>
        <v>-66218.350252723205</v>
      </c>
      <c r="K34" s="77">
        <f>-K$23*'Dados - Premissas'!$C$27</f>
        <v>-67542.71725777768</v>
      </c>
      <c r="L34" s="77">
        <f>-L$23*'Dados - Premissas'!$C$27</f>
        <v>-68893.571602933225</v>
      </c>
      <c r="M34" s="77">
        <f>-M$23*'Dados - Premissas'!$C$27</f>
        <v>-70271.443034991898</v>
      </c>
      <c r="N34" s="77">
        <f>-N$23*'Dados - Premissas'!$C$27</f>
        <v>-71676.871895691729</v>
      </c>
      <c r="O34" s="231"/>
      <c r="P34" s="35"/>
    </row>
    <row r="35" spans="1:16" s="3" customFormat="1" x14ac:dyDescent="0.25">
      <c r="A35" s="23"/>
      <c r="B35" s="125" t="s">
        <v>23</v>
      </c>
      <c r="C35" s="225">
        <v>0.1</v>
      </c>
      <c r="D35" s="77">
        <f>-D$23*'Dados - Premissas'!$C$28</f>
        <v>-117600</v>
      </c>
      <c r="E35" s="77">
        <f>-E$23*'Dados - Premissas'!$C$28</f>
        <v>-119952</v>
      </c>
      <c r="F35" s="77">
        <f>-F$23*'Dados - Premissas'!$C$28</f>
        <v>-122351.04000000002</v>
      </c>
      <c r="G35" s="77">
        <f>-G$23*'Dados - Premissas'!$C$28</f>
        <v>-124798.06080000001</v>
      </c>
      <c r="H35" s="77">
        <f>-H$23*'Dados - Premissas'!$C$28</f>
        <v>-127294.022016</v>
      </c>
      <c r="I35" s="77">
        <f>-I$23*'Dados - Premissas'!$C$28</f>
        <v>-129839.90245632001</v>
      </c>
      <c r="J35" s="77">
        <f>-J$23*'Dados - Premissas'!$C$28</f>
        <v>-132436.70050544641</v>
      </c>
      <c r="K35" s="77">
        <f>-K$23*'Dados - Premissas'!$C$28</f>
        <v>-135085.43451555536</v>
      </c>
      <c r="L35" s="77">
        <f>-L$23*'Dados - Premissas'!$C$28</f>
        <v>-137787.14320586645</v>
      </c>
      <c r="M35" s="77">
        <f>-M$23*'Dados - Premissas'!$C$28</f>
        <v>-140542.8860699838</v>
      </c>
      <c r="N35" s="77">
        <f>-N$23*'Dados - Premissas'!$C$28</f>
        <v>-143353.74379138346</v>
      </c>
      <c r="O35" s="231"/>
      <c r="P35" s="35"/>
    </row>
    <row r="36" spans="1:16" s="3" customFormat="1" x14ac:dyDescent="0.25">
      <c r="A36" s="23"/>
      <c r="B36" s="126" t="s">
        <v>25</v>
      </c>
      <c r="C36" s="225">
        <v>0</v>
      </c>
      <c r="D36" s="77">
        <f>-D$23*'Dados - Premissas'!$C$29</f>
        <v>0</v>
      </c>
      <c r="E36" s="77">
        <f>-E$23*'Dados - Premissas'!$C$29</f>
        <v>0</v>
      </c>
      <c r="F36" s="77">
        <f>-F$23*'Dados - Premissas'!$C$29</f>
        <v>0</v>
      </c>
      <c r="G36" s="77">
        <f>-G$23*'Dados - Premissas'!$C$29</f>
        <v>0</v>
      </c>
      <c r="H36" s="77">
        <f>-H$23*'Dados - Premissas'!$C$29</f>
        <v>0</v>
      </c>
      <c r="I36" s="77">
        <f>-I$23*'Dados - Premissas'!$C$29</f>
        <v>0</v>
      </c>
      <c r="J36" s="77">
        <f>-J$23*'Dados - Premissas'!$C$29</f>
        <v>0</v>
      </c>
      <c r="K36" s="77">
        <f>-K$23*'Dados - Premissas'!$C$29</f>
        <v>0</v>
      </c>
      <c r="L36" s="77">
        <f>-L$23*'Dados - Premissas'!$C$29</f>
        <v>0</v>
      </c>
      <c r="M36" s="77">
        <f>-M$23*'Dados - Premissas'!$C$29</f>
        <v>0</v>
      </c>
      <c r="N36" s="77">
        <f>-N$23*'Dados - Premissas'!$C$29</f>
        <v>0</v>
      </c>
      <c r="O36" s="231"/>
      <c r="P36" s="36"/>
    </row>
    <row r="37" spans="1:16" s="3" customFormat="1" x14ac:dyDescent="0.25">
      <c r="A37" s="23"/>
      <c r="B37" s="126" t="s">
        <v>26</v>
      </c>
      <c r="C37" s="225">
        <v>0</v>
      </c>
      <c r="D37" s="77">
        <f>-D$23*'Dados - Premissas'!$C$30</f>
        <v>0</v>
      </c>
      <c r="E37" s="77">
        <f>-E$23*'Dados - Premissas'!$C$30</f>
        <v>0</v>
      </c>
      <c r="F37" s="77">
        <f>-F$23*'Dados - Premissas'!$C$30</f>
        <v>0</v>
      </c>
      <c r="G37" s="77">
        <f>-G$23*'Dados - Premissas'!$C$30</f>
        <v>0</v>
      </c>
      <c r="H37" s="77">
        <f>-H$23*'Dados - Premissas'!$C$30</f>
        <v>0</v>
      </c>
      <c r="I37" s="77">
        <f>-I$23*'Dados - Premissas'!$C$30</f>
        <v>0</v>
      </c>
      <c r="J37" s="77">
        <f>-J$23*'Dados - Premissas'!$C$30</f>
        <v>0</v>
      </c>
      <c r="K37" s="77">
        <f>-K$23*'Dados - Premissas'!$C$30</f>
        <v>0</v>
      </c>
      <c r="L37" s="77">
        <f>-L$23*'Dados - Premissas'!$C$30</f>
        <v>0</v>
      </c>
      <c r="M37" s="77">
        <f>-M$23*'Dados - Premissas'!$C$30</f>
        <v>0</v>
      </c>
      <c r="N37" s="77">
        <f>-N$23*'Dados - Premissas'!$C$30</f>
        <v>0</v>
      </c>
      <c r="O37" s="232"/>
      <c r="P37" s="35"/>
    </row>
    <row r="38" spans="1:16" s="3" customFormat="1" x14ac:dyDescent="0.25">
      <c r="A38" s="23"/>
      <c r="B38" s="126" t="s">
        <v>27</v>
      </c>
      <c r="C38" s="225">
        <v>0</v>
      </c>
      <c r="D38" s="77">
        <f>-D$23*'Dados - Premissas'!$C$31</f>
        <v>0</v>
      </c>
      <c r="E38" s="77">
        <f>-E$23*'Dados - Premissas'!$C$31</f>
        <v>0</v>
      </c>
      <c r="F38" s="77">
        <f>-F$23*'Dados - Premissas'!$C$31</f>
        <v>0</v>
      </c>
      <c r="G38" s="77">
        <f>-G$23*'Dados - Premissas'!$C$31</f>
        <v>0</v>
      </c>
      <c r="H38" s="77">
        <f>-H$23*'Dados - Premissas'!$C$31</f>
        <v>0</v>
      </c>
      <c r="I38" s="77">
        <f>-I$23*'Dados - Premissas'!$C$31</f>
        <v>0</v>
      </c>
      <c r="J38" s="77">
        <f>-J$23*'Dados - Premissas'!$C$31</f>
        <v>0</v>
      </c>
      <c r="K38" s="77">
        <f>-K$23*'Dados - Premissas'!$C$31</f>
        <v>0</v>
      </c>
      <c r="L38" s="77">
        <f>-L$23*'Dados - Premissas'!$C$31</f>
        <v>0</v>
      </c>
      <c r="M38" s="77">
        <f>-M$23*'Dados - Premissas'!$C$31</f>
        <v>0</v>
      </c>
      <c r="N38" s="77">
        <f>-N$23*'Dados - Premissas'!$C$31</f>
        <v>0</v>
      </c>
      <c r="O38" s="232"/>
      <c r="P38" s="23"/>
    </row>
    <row r="39" spans="1:16" s="3" customFormat="1" x14ac:dyDescent="0.25">
      <c r="A39" s="23"/>
      <c r="B39" s="117"/>
      <c r="C39" s="105"/>
      <c r="D39" s="73"/>
      <c r="E39" s="73"/>
      <c r="F39" s="73"/>
      <c r="G39" s="73"/>
      <c r="H39" s="73"/>
      <c r="I39" s="227"/>
      <c r="J39" s="227"/>
      <c r="K39" s="227"/>
      <c r="L39" s="227"/>
      <c r="M39" s="227"/>
      <c r="N39" s="227"/>
      <c r="O39" s="230"/>
      <c r="P39" s="23"/>
    </row>
    <row r="40" spans="1:16" s="10" customFormat="1" x14ac:dyDescent="0.25">
      <c r="A40" s="23"/>
      <c r="B40" s="127" t="s">
        <v>11</v>
      </c>
      <c r="C40" s="73"/>
      <c r="D40" s="97">
        <f t="shared" ref="D40:I40" si="21">D30+D32</f>
        <v>185220</v>
      </c>
      <c r="E40" s="97">
        <f t="shared" si="21"/>
        <v>188924.40000000002</v>
      </c>
      <c r="F40" s="97">
        <f t="shared" si="21"/>
        <v>192702.88799999992</v>
      </c>
      <c r="G40" s="97">
        <f t="shared" si="21"/>
        <v>196556.94575999992</v>
      </c>
      <c r="H40" s="97">
        <f t="shared" si="21"/>
        <v>200488.08467520005</v>
      </c>
      <c r="I40" s="245">
        <f t="shared" si="21"/>
        <v>204497.84636870411</v>
      </c>
      <c r="J40" s="245">
        <f t="shared" ref="J40:N40" si="22">J30+J32</f>
        <v>208587.80329607811</v>
      </c>
      <c r="K40" s="245">
        <f t="shared" si="22"/>
        <v>212759.55936199962</v>
      </c>
      <c r="L40" s="245">
        <f t="shared" si="22"/>
        <v>217014.75054923946</v>
      </c>
      <c r="M40" s="245">
        <f t="shared" si="22"/>
        <v>221355.04556022433</v>
      </c>
      <c r="N40" s="118">
        <f t="shared" si="22"/>
        <v>225782.1464714288</v>
      </c>
      <c r="O40" s="30"/>
      <c r="P40" s="23"/>
    </row>
    <row r="41" spans="1:16" s="3" customFormat="1" x14ac:dyDescent="0.25">
      <c r="A41" s="2"/>
      <c r="B41" s="119" t="s">
        <v>55</v>
      </c>
      <c r="C41" s="74"/>
      <c r="D41" s="74">
        <f>D40/D30</f>
        <v>0.18367346938775511</v>
      </c>
      <c r="E41" s="74">
        <f t="shared" ref="E41:N41" si="23">E40/E30</f>
        <v>0.18367346938775511</v>
      </c>
      <c r="F41" s="74">
        <f t="shared" si="23"/>
        <v>0.183673469387755</v>
      </c>
      <c r="G41" s="74">
        <f t="shared" si="23"/>
        <v>0.18367346938775503</v>
      </c>
      <c r="H41" s="74">
        <f t="shared" si="23"/>
        <v>0.18367346938775514</v>
      </c>
      <c r="I41" s="74">
        <f t="shared" si="23"/>
        <v>0.18367346938775517</v>
      </c>
      <c r="J41" s="74">
        <f t="shared" si="23"/>
        <v>0.18367346938775508</v>
      </c>
      <c r="K41" s="74">
        <f t="shared" si="23"/>
        <v>0.18367346938775506</v>
      </c>
      <c r="L41" s="74">
        <f t="shared" si="23"/>
        <v>0.18367346938775495</v>
      </c>
      <c r="M41" s="74">
        <f t="shared" si="23"/>
        <v>0.183673469387755</v>
      </c>
      <c r="N41" s="74">
        <f t="shared" si="23"/>
        <v>0.183673469387755</v>
      </c>
      <c r="O41" s="113"/>
      <c r="P41" s="2"/>
    </row>
    <row r="42" spans="1:16" s="3" customFormat="1" x14ac:dyDescent="0.25">
      <c r="A42" s="23"/>
      <c r="B42" s="117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229"/>
      <c r="P42" s="23"/>
    </row>
    <row r="43" spans="1:16" s="95" customFormat="1" x14ac:dyDescent="0.25">
      <c r="A43" s="66"/>
      <c r="B43" s="128" t="s">
        <v>28</v>
      </c>
      <c r="C43" s="103"/>
      <c r="D43" s="104">
        <f>'Dados - Premissas'!$C$37</f>
        <v>0</v>
      </c>
      <c r="E43" s="104">
        <f>'Dados - Premissas'!$C$37</f>
        <v>0</v>
      </c>
      <c r="F43" s="104">
        <f>'Dados - Premissas'!$C$37</f>
        <v>0</v>
      </c>
      <c r="G43" s="104">
        <f>'Dados - Premissas'!$C$37</f>
        <v>0</v>
      </c>
      <c r="H43" s="104">
        <f>'Dados - Premissas'!$C$37</f>
        <v>0</v>
      </c>
      <c r="I43" s="104">
        <f>'Dados - Premissas'!$C$37</f>
        <v>0</v>
      </c>
      <c r="J43" s="104">
        <f>'Dados - Premissas'!$C$37</f>
        <v>0</v>
      </c>
      <c r="K43" s="104">
        <f>'Dados - Premissas'!$C$37</f>
        <v>0</v>
      </c>
      <c r="L43" s="104">
        <f>'Dados - Premissas'!$C$37</f>
        <v>0</v>
      </c>
      <c r="M43" s="104">
        <f>'Dados - Premissas'!$C$37</f>
        <v>0</v>
      </c>
      <c r="N43" s="104">
        <f>'Dados - Premissas'!$C$37</f>
        <v>0</v>
      </c>
      <c r="O43" s="246"/>
      <c r="P43" s="66"/>
    </row>
    <row r="44" spans="1:16" s="3" customFormat="1" x14ac:dyDescent="0.25">
      <c r="A44" s="23"/>
      <c r="B44" s="117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230"/>
      <c r="P44" s="23"/>
    </row>
    <row r="45" spans="1:16" s="10" customFormat="1" x14ac:dyDescent="0.25">
      <c r="A45" s="23"/>
      <c r="B45" s="117" t="s">
        <v>66</v>
      </c>
      <c r="C45" s="73"/>
      <c r="D45" s="97">
        <f>D40+D43</f>
        <v>185220</v>
      </c>
      <c r="E45" s="97">
        <f>E40+E43</f>
        <v>188924.40000000002</v>
      </c>
      <c r="F45" s="97">
        <f t="shared" ref="F45:I45" si="24">F40+F43</f>
        <v>192702.88799999992</v>
      </c>
      <c r="G45" s="97">
        <f t="shared" si="24"/>
        <v>196556.94575999992</v>
      </c>
      <c r="H45" s="97">
        <f t="shared" si="24"/>
        <v>200488.08467520005</v>
      </c>
      <c r="I45" s="245">
        <f t="shared" si="24"/>
        <v>204497.84636870411</v>
      </c>
      <c r="J45" s="245">
        <f t="shared" ref="J45:N45" si="25">J40+J43</f>
        <v>208587.80329607811</v>
      </c>
      <c r="K45" s="245">
        <f t="shared" si="25"/>
        <v>212759.55936199962</v>
      </c>
      <c r="L45" s="245">
        <f t="shared" si="25"/>
        <v>217014.75054923946</v>
      </c>
      <c r="M45" s="245">
        <f t="shared" si="25"/>
        <v>221355.04556022433</v>
      </c>
      <c r="N45" s="245">
        <f t="shared" si="25"/>
        <v>225782.1464714288</v>
      </c>
      <c r="O45" s="230"/>
      <c r="P45" s="37"/>
    </row>
    <row r="46" spans="1:16" s="10" customFormat="1" x14ac:dyDescent="0.25">
      <c r="A46" s="2"/>
      <c r="B46" s="129" t="s">
        <v>10</v>
      </c>
      <c r="C46" s="74"/>
      <c r="D46" s="74">
        <f t="shared" ref="D46:I46" si="26">D45/D23</f>
        <v>0.1575</v>
      </c>
      <c r="E46" s="74">
        <f t="shared" si="26"/>
        <v>0.15750000000000003</v>
      </c>
      <c r="F46" s="74">
        <f t="shared" si="26"/>
        <v>0.15749999999999992</v>
      </c>
      <c r="G46" s="74">
        <f t="shared" si="26"/>
        <v>0.15749999999999992</v>
      </c>
      <c r="H46" s="74">
        <f t="shared" si="26"/>
        <v>0.15750000000000003</v>
      </c>
      <c r="I46" s="74">
        <f t="shared" si="26"/>
        <v>0.15750000000000008</v>
      </c>
      <c r="J46" s="74">
        <f t="shared" ref="J46:N46" si="27">J45/J23</f>
        <v>0.1575</v>
      </c>
      <c r="K46" s="74">
        <f t="shared" si="27"/>
        <v>0.15749999999999997</v>
      </c>
      <c r="L46" s="74">
        <f t="shared" si="27"/>
        <v>0.15749999999999986</v>
      </c>
      <c r="M46" s="74">
        <f t="shared" si="27"/>
        <v>0.15749999999999992</v>
      </c>
      <c r="N46" s="74">
        <f t="shared" si="27"/>
        <v>0.15749999999999989</v>
      </c>
      <c r="O46" s="113"/>
      <c r="P46" s="2"/>
    </row>
    <row r="47" spans="1:16" s="3" customFormat="1" x14ac:dyDescent="0.25">
      <c r="A47" s="23"/>
      <c r="B47" s="117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229"/>
      <c r="P47" s="23"/>
    </row>
    <row r="48" spans="1:16" s="3" customFormat="1" x14ac:dyDescent="0.25">
      <c r="A48" s="23"/>
      <c r="B48" s="130" t="s">
        <v>62</v>
      </c>
      <c r="C48" s="78">
        <f>C13</f>
        <v>0.34</v>
      </c>
      <c r="D48" s="69">
        <f t="shared" ref="D48:N48" si="28">-D$45*$C$48</f>
        <v>-62974.8</v>
      </c>
      <c r="E48" s="69">
        <f t="shared" si="28"/>
        <v>-64234.296000000009</v>
      </c>
      <c r="F48" s="69">
        <f t="shared" si="28"/>
        <v>-65518.981919999977</v>
      </c>
      <c r="G48" s="69">
        <f t="shared" si="28"/>
        <v>-66829.361558399978</v>
      </c>
      <c r="H48" s="69">
        <f t="shared" si="28"/>
        <v>-68165.948789568021</v>
      </c>
      <c r="I48" s="69">
        <f t="shared" si="28"/>
        <v>-69529.2677653594</v>
      </c>
      <c r="J48" s="69">
        <f t="shared" si="28"/>
        <v>-70919.853120666565</v>
      </c>
      <c r="K48" s="69">
        <f t="shared" si="28"/>
        <v>-72338.250183079872</v>
      </c>
      <c r="L48" s="69">
        <f t="shared" si="28"/>
        <v>-73785.015186741424</v>
      </c>
      <c r="M48" s="69">
        <f t="shared" si="28"/>
        <v>-75260.715490476272</v>
      </c>
      <c r="N48" s="114">
        <f t="shared" si="28"/>
        <v>-76765.929800285798</v>
      </c>
      <c r="O48" s="38"/>
      <c r="P48" s="23"/>
    </row>
    <row r="49" spans="1:27" s="3" customFormat="1" ht="16.5" thickBot="1" x14ac:dyDescent="0.3">
      <c r="A49" s="23"/>
      <c r="B49" s="117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121"/>
      <c r="O49" s="33"/>
      <c r="P49" s="23"/>
    </row>
    <row r="50" spans="1:27" s="3" customFormat="1" ht="16.5" thickTop="1" x14ac:dyDescent="0.25">
      <c r="A50" s="23"/>
      <c r="B50" s="117" t="s">
        <v>67</v>
      </c>
      <c r="C50" s="73"/>
      <c r="D50" s="107">
        <f>ROUND(D48+D45,0)</f>
        <v>122245</v>
      </c>
      <c r="E50" s="107">
        <f>E48+E45</f>
        <v>124690.10400000002</v>
      </c>
      <c r="F50" s="107">
        <f>F48+F45</f>
        <v>127183.90607999994</v>
      </c>
      <c r="G50" s="107">
        <f>G48+G45</f>
        <v>129727.58420159994</v>
      </c>
      <c r="H50" s="107">
        <f>H48+H45</f>
        <v>132322.13588563201</v>
      </c>
      <c r="I50" s="107">
        <f>ROUND(I48+I45,0)</f>
        <v>134969</v>
      </c>
      <c r="J50" s="107">
        <f t="shared" ref="J50:N50" si="29">ROUND(J48+J45,0)</f>
        <v>137668</v>
      </c>
      <c r="K50" s="107">
        <f t="shared" si="29"/>
        <v>140421</v>
      </c>
      <c r="L50" s="107">
        <f t="shared" si="29"/>
        <v>143230</v>
      </c>
      <c r="M50" s="107">
        <f t="shared" si="29"/>
        <v>146094</v>
      </c>
      <c r="N50" s="131">
        <f t="shared" si="29"/>
        <v>149016</v>
      </c>
      <c r="O50" s="30"/>
      <c r="P50" s="23"/>
    </row>
    <row r="51" spans="1:27" s="3" customFormat="1" x14ac:dyDescent="0.25">
      <c r="A51" s="2"/>
      <c r="B51" s="132" t="s">
        <v>68</v>
      </c>
      <c r="C51" s="133"/>
      <c r="D51" s="133">
        <f t="shared" ref="D51:I51" si="30">D50/D23</f>
        <v>0.10394982993197278</v>
      </c>
      <c r="E51" s="133">
        <f t="shared" si="30"/>
        <v>0.10395000000000001</v>
      </c>
      <c r="F51" s="133">
        <f t="shared" si="30"/>
        <v>0.10394999999999995</v>
      </c>
      <c r="G51" s="133">
        <f t="shared" si="30"/>
        <v>0.10394999999999995</v>
      </c>
      <c r="H51" s="133">
        <f t="shared" si="30"/>
        <v>0.10395000000000001</v>
      </c>
      <c r="I51" s="133">
        <f t="shared" si="30"/>
        <v>0.10395032455096422</v>
      </c>
      <c r="J51" s="133">
        <f t="shared" ref="J51:N51" si="31">J50/J23</f>
        <v>0.10395003762143595</v>
      </c>
      <c r="K51" s="133">
        <f t="shared" si="31"/>
        <v>0.10394977112342209</v>
      </c>
      <c r="L51" s="133">
        <f t="shared" si="31"/>
        <v>0.10395019206255074</v>
      </c>
      <c r="M51" s="133">
        <f t="shared" si="31"/>
        <v>0.10394976514659876</v>
      </c>
      <c r="N51" s="134">
        <f t="shared" si="31"/>
        <v>0.10394984885560894</v>
      </c>
      <c r="O51" s="2"/>
    </row>
    <row r="52" spans="1:27" s="3" customFormat="1" x14ac:dyDescent="0.25">
      <c r="A52" s="23"/>
      <c r="B52" s="32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2"/>
      <c r="P52" s="23"/>
    </row>
    <row r="53" spans="1:27" s="3" customFormat="1" x14ac:dyDescent="0.25">
      <c r="A53" s="23"/>
      <c r="B53" s="32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2"/>
      <c r="P53" s="23"/>
    </row>
    <row r="54" spans="1:27" s="3" customFormat="1" x14ac:dyDescent="0.25">
      <c r="A54" s="23"/>
      <c r="B54" s="135" t="s">
        <v>69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7"/>
      <c r="P54" s="138" t="s">
        <v>70</v>
      </c>
    </row>
    <row r="55" spans="1:27" s="3" customFormat="1" x14ac:dyDescent="0.25">
      <c r="A55" s="23"/>
      <c r="B55" s="129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2"/>
      <c r="P55" s="139"/>
    </row>
    <row r="56" spans="1:27" s="24" customFormat="1" x14ac:dyDescent="0.25">
      <c r="A56" s="2"/>
      <c r="B56" s="149" t="s">
        <v>11</v>
      </c>
      <c r="C56" s="80"/>
      <c r="D56" s="80"/>
      <c r="E56" s="80">
        <f>E40</f>
        <v>188924.40000000002</v>
      </c>
      <c r="F56" s="80">
        <f>F40</f>
        <v>192702.88799999992</v>
      </c>
      <c r="G56" s="80">
        <f>G40</f>
        <v>196556.94575999992</v>
      </c>
      <c r="H56" s="80">
        <f>H40</f>
        <v>200488.08467520005</v>
      </c>
      <c r="I56" s="80">
        <f>I40</f>
        <v>204497.84636870411</v>
      </c>
      <c r="J56" s="80">
        <f t="shared" ref="J56:N56" si="32">J40</f>
        <v>208587.80329607811</v>
      </c>
      <c r="K56" s="80">
        <f t="shared" si="32"/>
        <v>212759.55936199962</v>
      </c>
      <c r="L56" s="80">
        <f t="shared" si="32"/>
        <v>217014.75054923946</v>
      </c>
      <c r="M56" s="80">
        <f t="shared" si="32"/>
        <v>221355.04556022433</v>
      </c>
      <c r="N56" s="80">
        <f t="shared" si="32"/>
        <v>225782.1464714288</v>
      </c>
      <c r="O56" s="39"/>
      <c r="P56" s="150">
        <f>N56*(1+C11)</f>
        <v>230297.78940085738</v>
      </c>
      <c r="Q56" s="40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27" s="24" customFormat="1" x14ac:dyDescent="0.25">
      <c r="A57" s="2"/>
      <c r="B57" s="140" t="s">
        <v>72</v>
      </c>
      <c r="C57" s="81"/>
      <c r="D57" s="75"/>
      <c r="E57" s="75">
        <f>-'Dados - Premissas'!$C$38</f>
        <v>0</v>
      </c>
      <c r="F57" s="75">
        <f>-'Dados - Premissas'!$C$38</f>
        <v>0</v>
      </c>
      <c r="G57" s="75">
        <f>-'Dados - Premissas'!$C$38</f>
        <v>0</v>
      </c>
      <c r="H57" s="75">
        <f>-'Dados - Premissas'!$C$38</f>
        <v>0</v>
      </c>
      <c r="I57" s="75">
        <f>-'Dados - Premissas'!$C$38</f>
        <v>0</v>
      </c>
      <c r="J57" s="75">
        <f>-'Dados - Premissas'!$C$38</f>
        <v>0</v>
      </c>
      <c r="K57" s="75">
        <f>-'Dados - Premissas'!$C$38</f>
        <v>0</v>
      </c>
      <c r="L57" s="75">
        <f>-'Dados - Premissas'!$C$38</f>
        <v>0</v>
      </c>
      <c r="M57" s="75">
        <f>-'Dados - Premissas'!$C$38</f>
        <v>0</v>
      </c>
      <c r="N57" s="75">
        <f>-'Dados - Premissas'!$C$38</f>
        <v>0</v>
      </c>
      <c r="O57" s="41"/>
      <c r="P57" s="141">
        <f>MIN(I57*(1+C11),I43*(1+C11))</f>
        <v>0</v>
      </c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s="24" customFormat="1" x14ac:dyDescent="0.25">
      <c r="A58" s="2"/>
      <c r="B58" s="140" t="s">
        <v>62</v>
      </c>
      <c r="C58" s="79"/>
      <c r="D58" s="75"/>
      <c r="E58" s="75">
        <f>E48</f>
        <v>-64234.296000000009</v>
      </c>
      <c r="F58" s="75">
        <f>F48</f>
        <v>-65518.981919999977</v>
      </c>
      <c r="G58" s="75">
        <f>G48</f>
        <v>-66829.361558399978</v>
      </c>
      <c r="H58" s="75">
        <f>H48</f>
        <v>-68165.948789568021</v>
      </c>
      <c r="I58" s="75">
        <f>I48</f>
        <v>-69529.2677653594</v>
      </c>
      <c r="J58" s="75">
        <f t="shared" ref="J58:N58" si="33">J48</f>
        <v>-70919.853120666565</v>
      </c>
      <c r="K58" s="75">
        <f t="shared" si="33"/>
        <v>-72338.250183079872</v>
      </c>
      <c r="L58" s="75">
        <f t="shared" si="33"/>
        <v>-73785.015186741424</v>
      </c>
      <c r="M58" s="75">
        <f t="shared" si="33"/>
        <v>-75260.715490476272</v>
      </c>
      <c r="N58" s="75">
        <f t="shared" si="33"/>
        <v>-76765.929800285798</v>
      </c>
      <c r="O58" s="41"/>
      <c r="P58" s="141">
        <f>N58*(1+C11)</f>
        <v>-78301.248396291514</v>
      </c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s="24" customFormat="1" x14ac:dyDescent="0.25">
      <c r="A59" s="2"/>
      <c r="B59" s="140" t="s">
        <v>29</v>
      </c>
      <c r="C59" s="81"/>
      <c r="D59" s="75"/>
      <c r="E59" s="75">
        <f>E84</f>
        <v>-29988</v>
      </c>
      <c r="F59" s="75">
        <f>F84</f>
        <v>-599.76000000000931</v>
      </c>
      <c r="G59" s="75">
        <f>G84</f>
        <v>-611.75519999998505</v>
      </c>
      <c r="H59" s="75">
        <f>H84</f>
        <v>-623.99030400002084</v>
      </c>
      <c r="I59" s="75">
        <f>I84</f>
        <v>-636.47011008000118</v>
      </c>
      <c r="J59" s="75">
        <f t="shared" ref="J59:N59" si="34">J84</f>
        <v>-649.19951228158607</v>
      </c>
      <c r="K59" s="75">
        <f t="shared" si="34"/>
        <v>-662.1835025272303</v>
      </c>
      <c r="L59" s="75">
        <f t="shared" si="34"/>
        <v>-675.4271725777653</v>
      </c>
      <c r="M59" s="75">
        <f t="shared" si="34"/>
        <v>-688.93571602934389</v>
      </c>
      <c r="N59" s="75">
        <f t="shared" si="34"/>
        <v>-702.71443034992262</v>
      </c>
      <c r="O59" s="41"/>
      <c r="P59" s="141">
        <f>N59*(1+C11)</f>
        <v>-716.76871895692113</v>
      </c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s="24" customFormat="1" ht="16.5" thickBot="1" x14ac:dyDescent="0.3">
      <c r="A60" s="2"/>
      <c r="B60" s="142"/>
      <c r="C60" s="79"/>
      <c r="D60" s="79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39"/>
      <c r="P60" s="143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7" s="24" customFormat="1" ht="16.5" thickTop="1" x14ac:dyDescent="0.25">
      <c r="A61" s="2"/>
      <c r="B61" s="144" t="s">
        <v>80</v>
      </c>
      <c r="C61" s="145"/>
      <c r="D61" s="146"/>
      <c r="E61" s="146">
        <f>ROUND(SUM(E56:E59),0)</f>
        <v>94702</v>
      </c>
      <c r="F61" s="146">
        <f>ROUND(SUM(F56:F59),0)</f>
        <v>126584</v>
      </c>
      <c r="G61" s="146">
        <f>ROUND(SUM(G56:G59),0)</f>
        <v>129116</v>
      </c>
      <c r="H61" s="146">
        <f>ROUND(SUM(H56:H59),0)</f>
        <v>131698</v>
      </c>
      <c r="I61" s="146">
        <f>ROUND(SUM(I56:I59),0)</f>
        <v>134332</v>
      </c>
      <c r="J61" s="146">
        <f t="shared" ref="J61:N61" si="35">ROUND(SUM(J56:J59),0)</f>
        <v>137019</v>
      </c>
      <c r="K61" s="146">
        <f t="shared" si="35"/>
        <v>139759</v>
      </c>
      <c r="L61" s="146">
        <f t="shared" si="35"/>
        <v>142554</v>
      </c>
      <c r="M61" s="146">
        <f t="shared" si="35"/>
        <v>145405</v>
      </c>
      <c r="N61" s="146">
        <f t="shared" si="35"/>
        <v>148314</v>
      </c>
      <c r="O61" s="147"/>
      <c r="P61" s="148">
        <f>(SUM(P56:P59))</f>
        <v>151279.77228560895</v>
      </c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7" s="24" customFormat="1" x14ac:dyDescent="0.25">
      <c r="A62" s="23"/>
      <c r="B62" s="26"/>
      <c r="C62" s="82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39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s="24" customFormat="1" x14ac:dyDescent="0.25">
      <c r="A63" s="23"/>
      <c r="B63" s="26"/>
      <c r="C63" s="82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39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ht="15.75" customHeight="1" x14ac:dyDescent="0.25">
      <c r="A64" s="26"/>
      <c r="B64" s="135" t="s">
        <v>78</v>
      </c>
      <c r="C64" s="138" t="s">
        <v>56</v>
      </c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26"/>
      <c r="P64" s="26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</row>
    <row r="65" spans="1:75" x14ac:dyDescent="0.25">
      <c r="A65" s="23"/>
      <c r="B65" s="151" t="s">
        <v>38</v>
      </c>
      <c r="C65" s="152">
        <f>NPV(C12,E61:N61)</f>
        <v>529219.64551818196</v>
      </c>
      <c r="D65" s="82"/>
      <c r="E65" s="84"/>
      <c r="F65" s="85"/>
      <c r="G65" s="83"/>
      <c r="H65" s="86"/>
      <c r="I65" s="86"/>
      <c r="J65" s="86"/>
      <c r="K65" s="86"/>
      <c r="L65" s="86"/>
      <c r="M65" s="86"/>
      <c r="N65" s="86"/>
      <c r="O65" s="44"/>
      <c r="P65" s="44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</row>
    <row r="66" spans="1:75" x14ac:dyDescent="0.25">
      <c r="A66" s="23"/>
      <c r="B66" s="153" t="s">
        <v>76</v>
      </c>
      <c r="C66" s="150">
        <f>(PV(C12,COUNTA(E61:N61),,-P61))/(C12-C11)</f>
        <v>135736.26556905781</v>
      </c>
      <c r="D66" s="87"/>
      <c r="E66" s="84"/>
      <c r="F66" s="75"/>
      <c r="G66" s="88"/>
      <c r="H66" s="82"/>
      <c r="I66" s="82"/>
      <c r="J66" s="82"/>
      <c r="K66" s="82"/>
      <c r="L66" s="82"/>
      <c r="M66" s="82"/>
      <c r="N66" s="82"/>
      <c r="O66" s="44"/>
      <c r="P66" s="42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</row>
    <row r="67" spans="1:75" x14ac:dyDescent="0.25">
      <c r="A67" s="23"/>
      <c r="B67" s="151" t="s">
        <v>74</v>
      </c>
      <c r="C67" s="154">
        <f>C65+C66</f>
        <v>664955.91108723974</v>
      </c>
      <c r="D67" s="87"/>
      <c r="E67" s="84"/>
      <c r="F67" s="68"/>
      <c r="G67" s="89"/>
      <c r="H67" s="82"/>
      <c r="I67" s="82"/>
      <c r="J67" s="82"/>
      <c r="K67" s="82"/>
      <c r="L67" s="82"/>
      <c r="M67" s="82"/>
      <c r="N67" s="82"/>
      <c r="O67" s="49"/>
      <c r="P67" s="50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</row>
    <row r="68" spans="1:75" ht="16.5" thickBot="1" x14ac:dyDescent="0.3">
      <c r="A68" s="23"/>
      <c r="B68" s="155" t="s">
        <v>75</v>
      </c>
      <c r="C68" s="243">
        <f>'Dados - Premissas'!C41</f>
        <v>0</v>
      </c>
      <c r="D68" s="87"/>
      <c r="E68" s="84"/>
      <c r="F68" s="68"/>
      <c r="G68" s="82"/>
      <c r="H68" s="82"/>
      <c r="I68" s="82"/>
      <c r="J68" s="82"/>
      <c r="K68" s="82"/>
      <c r="L68" s="82"/>
      <c r="M68" s="82"/>
      <c r="N68" s="82"/>
      <c r="O68" s="53"/>
      <c r="P68" s="54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</row>
    <row r="69" spans="1:75" ht="16.5" thickTop="1" x14ac:dyDescent="0.25">
      <c r="A69" s="23"/>
      <c r="B69" s="156" t="s">
        <v>77</v>
      </c>
      <c r="C69" s="157">
        <f>C67+C68</f>
        <v>664955.91108723974</v>
      </c>
      <c r="D69" s="82"/>
      <c r="E69" s="84"/>
      <c r="F69" s="68"/>
      <c r="G69" s="90"/>
      <c r="H69" s="90"/>
      <c r="I69" s="90"/>
      <c r="J69" s="90"/>
      <c r="K69" s="90"/>
      <c r="L69" s="90"/>
      <c r="M69" s="90"/>
      <c r="N69" s="90"/>
      <c r="O69" s="55"/>
      <c r="P69" s="26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</row>
    <row r="70" spans="1:75" x14ac:dyDescent="0.25">
      <c r="A70" s="23"/>
      <c r="B70" s="43"/>
      <c r="C70" s="82"/>
      <c r="D70" s="82"/>
      <c r="E70" s="91"/>
      <c r="F70" s="68"/>
      <c r="G70" s="90"/>
      <c r="H70" s="90"/>
      <c r="I70" s="90"/>
      <c r="J70" s="90"/>
      <c r="K70" s="90"/>
      <c r="L70" s="90"/>
      <c r="M70" s="90"/>
      <c r="N70" s="90"/>
      <c r="O70" s="55"/>
      <c r="P70" s="26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</row>
    <row r="71" spans="1:75" s="59" customFormat="1" x14ac:dyDescent="0.25">
      <c r="A71" s="56"/>
      <c r="B71" s="56"/>
      <c r="C71" s="92"/>
      <c r="D71" s="92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57"/>
      <c r="P71" s="57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</row>
    <row r="72" spans="1:75" s="59" customFormat="1" x14ac:dyDescent="0.25">
      <c r="A72" s="56"/>
      <c r="B72" s="158" t="s">
        <v>79</v>
      </c>
      <c r="C72" s="159"/>
      <c r="D72" s="160" t="s">
        <v>81</v>
      </c>
      <c r="E72" s="160" t="str">
        <f>E16</f>
        <v>2017</v>
      </c>
      <c r="F72" s="160" t="str">
        <f t="shared" ref="F72:I72" si="36">F16</f>
        <v>2018</v>
      </c>
      <c r="G72" s="160" t="str">
        <f t="shared" si="36"/>
        <v>2019</v>
      </c>
      <c r="H72" s="160" t="str">
        <f t="shared" si="36"/>
        <v>2020</v>
      </c>
      <c r="I72" s="160" t="str">
        <f t="shared" si="36"/>
        <v>2021</v>
      </c>
      <c r="J72" s="160" t="str">
        <f t="shared" ref="J72:N72" si="37">J16</f>
        <v>2022</v>
      </c>
      <c r="K72" s="160" t="str">
        <f t="shared" si="37"/>
        <v>2023</v>
      </c>
      <c r="L72" s="160" t="str">
        <f t="shared" si="37"/>
        <v>2024</v>
      </c>
      <c r="M72" s="160" t="str">
        <f t="shared" si="37"/>
        <v>2025</v>
      </c>
      <c r="N72" s="161" t="str">
        <f t="shared" si="37"/>
        <v>2026</v>
      </c>
      <c r="O72" s="57"/>
      <c r="P72" s="57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</row>
    <row r="73" spans="1:75" s="59" customFormat="1" ht="7.5" customHeight="1" x14ac:dyDescent="0.25">
      <c r="B73" s="162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163"/>
      <c r="O73" s="57"/>
      <c r="P73" s="57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</row>
    <row r="74" spans="1:75" s="59" customFormat="1" x14ac:dyDescent="0.25">
      <c r="A74" s="56"/>
      <c r="B74" s="164" t="s">
        <v>30</v>
      </c>
      <c r="C74" s="92"/>
      <c r="D74" s="104"/>
      <c r="E74" s="93">
        <f>SUM(E75:E77)</f>
        <v>99960</v>
      </c>
      <c r="F74" s="93">
        <f t="shared" ref="F74:I74" si="38">SUM(F75:F77)</f>
        <v>101959.20000000001</v>
      </c>
      <c r="G74" s="93">
        <f t="shared" si="38"/>
        <v>103998.38399999999</v>
      </c>
      <c r="H74" s="93">
        <f t="shared" si="38"/>
        <v>106078.35168000001</v>
      </c>
      <c r="I74" s="93">
        <f t="shared" si="38"/>
        <v>108199.91871360001</v>
      </c>
      <c r="J74" s="93">
        <f t="shared" ref="J74:N74" si="39">SUM(J75:J77)</f>
        <v>110363.91708787202</v>
      </c>
      <c r="K74" s="93">
        <f t="shared" si="39"/>
        <v>112571.19542962946</v>
      </c>
      <c r="L74" s="93">
        <f t="shared" si="39"/>
        <v>114822.61933822204</v>
      </c>
      <c r="M74" s="93">
        <f t="shared" si="39"/>
        <v>117119.07172498648</v>
      </c>
      <c r="N74" s="165">
        <f t="shared" si="39"/>
        <v>119461.45315948622</v>
      </c>
      <c r="O74" s="57"/>
      <c r="P74" s="57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</row>
    <row r="75" spans="1:75" s="59" customFormat="1" x14ac:dyDescent="0.25">
      <c r="A75" s="56"/>
      <c r="B75" s="166" t="s">
        <v>31</v>
      </c>
      <c r="C75" s="92"/>
      <c r="D75" s="104"/>
      <c r="E75" s="91">
        <f>E23/360*30</f>
        <v>99960</v>
      </c>
      <c r="F75" s="91">
        <f t="shared" ref="F75:I75" si="40">F23/360*30</f>
        <v>101959.20000000001</v>
      </c>
      <c r="G75" s="91">
        <f t="shared" si="40"/>
        <v>103998.38399999999</v>
      </c>
      <c r="H75" s="91">
        <f t="shared" si="40"/>
        <v>106078.35168000001</v>
      </c>
      <c r="I75" s="91">
        <f t="shared" si="40"/>
        <v>108199.91871360001</v>
      </c>
      <c r="J75" s="91">
        <f t="shared" ref="J75:N75" si="41">J23/360*30</f>
        <v>110363.91708787202</v>
      </c>
      <c r="K75" s="91">
        <f t="shared" si="41"/>
        <v>112571.19542962946</v>
      </c>
      <c r="L75" s="91">
        <f t="shared" si="41"/>
        <v>114822.61933822204</v>
      </c>
      <c r="M75" s="91">
        <f t="shared" si="41"/>
        <v>117119.07172498648</v>
      </c>
      <c r="N75" s="167">
        <f t="shared" si="41"/>
        <v>119461.45315948622</v>
      </c>
      <c r="O75" s="57"/>
      <c r="P75" s="57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</row>
    <row r="76" spans="1:75" s="59" customFormat="1" x14ac:dyDescent="0.25">
      <c r="A76" s="56"/>
      <c r="B76" s="166" t="s">
        <v>34</v>
      </c>
      <c r="C76" s="92"/>
      <c r="D76" s="104"/>
      <c r="E76" s="91">
        <v>0</v>
      </c>
      <c r="F76" s="91">
        <v>0</v>
      </c>
      <c r="G76" s="91">
        <v>0</v>
      </c>
      <c r="H76" s="91">
        <v>0</v>
      </c>
      <c r="I76" s="91">
        <v>0</v>
      </c>
      <c r="J76" s="91">
        <v>0</v>
      </c>
      <c r="K76" s="91">
        <v>0</v>
      </c>
      <c r="L76" s="91">
        <v>0</v>
      </c>
      <c r="M76" s="91">
        <v>0</v>
      </c>
      <c r="N76" s="167">
        <v>0</v>
      </c>
      <c r="O76" s="57"/>
      <c r="P76" s="57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</row>
    <row r="77" spans="1:75" s="59" customFormat="1" x14ac:dyDescent="0.25">
      <c r="A77" s="56"/>
      <c r="B77" s="166" t="s">
        <v>35</v>
      </c>
      <c r="C77" s="92"/>
      <c r="D77" s="104"/>
      <c r="E77" s="91">
        <v>0</v>
      </c>
      <c r="F77" s="91">
        <v>0</v>
      </c>
      <c r="G77" s="91">
        <v>0</v>
      </c>
      <c r="H77" s="91">
        <v>0</v>
      </c>
      <c r="I77" s="91">
        <v>0</v>
      </c>
      <c r="J77" s="91">
        <v>0</v>
      </c>
      <c r="K77" s="91">
        <v>0</v>
      </c>
      <c r="L77" s="91">
        <v>0</v>
      </c>
      <c r="M77" s="91">
        <v>0</v>
      </c>
      <c r="N77" s="167">
        <v>0</v>
      </c>
      <c r="O77" s="57"/>
      <c r="P77" s="57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</row>
    <row r="78" spans="1:75" s="59" customFormat="1" ht="7.5" customHeight="1" x14ac:dyDescent="0.25">
      <c r="A78" s="56"/>
      <c r="B78" s="166"/>
      <c r="C78" s="92"/>
      <c r="D78" s="244"/>
      <c r="E78" s="91"/>
      <c r="F78" s="91"/>
      <c r="G78" s="91"/>
      <c r="H78" s="91"/>
      <c r="I78" s="91"/>
      <c r="J78" s="91"/>
      <c r="K78" s="91"/>
      <c r="L78" s="91"/>
      <c r="M78" s="91"/>
      <c r="N78" s="167"/>
      <c r="O78" s="57"/>
      <c r="P78" s="57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</row>
    <row r="79" spans="1:75" s="59" customFormat="1" x14ac:dyDescent="0.25">
      <c r="A79" s="56"/>
      <c r="B79" s="164" t="s">
        <v>32</v>
      </c>
      <c r="C79" s="92"/>
      <c r="D79" s="104"/>
      <c r="E79" s="93">
        <f>SUM(E80:E82)</f>
        <v>69972</v>
      </c>
      <c r="F79" s="93">
        <f t="shared" ref="F79" si="42">SUM(F80:F82)</f>
        <v>71371.44</v>
      </c>
      <c r="G79" s="93">
        <f t="shared" ref="G79" si="43">SUM(G80:G82)</f>
        <v>72798.868799999997</v>
      </c>
      <c r="H79" s="93">
        <f t="shared" ref="H79" si="44">SUM(H80:H82)</f>
        <v>74254.846175999992</v>
      </c>
      <c r="I79" s="93">
        <f t="shared" ref="I79" si="45">SUM(I80:I82)</f>
        <v>75739.943099519995</v>
      </c>
      <c r="J79" s="93">
        <f t="shared" ref="J79:N79" si="46">SUM(J80:J82)</f>
        <v>77254.741961510415</v>
      </c>
      <c r="K79" s="93">
        <f t="shared" si="46"/>
        <v>78799.836800740624</v>
      </c>
      <c r="L79" s="93">
        <f t="shared" si="46"/>
        <v>80375.833536755439</v>
      </c>
      <c r="M79" s="93">
        <f t="shared" si="46"/>
        <v>81983.350207490541</v>
      </c>
      <c r="N79" s="165">
        <f t="shared" si="46"/>
        <v>83623.017211640356</v>
      </c>
      <c r="O79" s="57"/>
      <c r="P79" s="57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</row>
    <row r="80" spans="1:75" s="59" customFormat="1" x14ac:dyDescent="0.25">
      <c r="A80" s="56"/>
      <c r="B80" s="166" t="s">
        <v>33</v>
      </c>
      <c r="C80" s="92"/>
      <c r="D80" s="104"/>
      <c r="E80" s="91">
        <f>-E32/360*30</f>
        <v>69972</v>
      </c>
      <c r="F80" s="91">
        <f>-F32/360*30</f>
        <v>71371.44</v>
      </c>
      <c r="G80" s="91">
        <f>-G32/360*30</f>
        <v>72798.868799999997</v>
      </c>
      <c r="H80" s="91">
        <f>-H32/360*30</f>
        <v>74254.846175999992</v>
      </c>
      <c r="I80" s="91">
        <f>-I32/360*30</f>
        <v>75739.943099519995</v>
      </c>
      <c r="J80" s="91">
        <f t="shared" ref="J80:N80" si="47">-J32/360*30</f>
        <v>77254.741961510415</v>
      </c>
      <c r="K80" s="91">
        <f t="shared" si="47"/>
        <v>78799.836800740624</v>
      </c>
      <c r="L80" s="91">
        <f t="shared" si="47"/>
        <v>80375.833536755439</v>
      </c>
      <c r="M80" s="91">
        <f t="shared" si="47"/>
        <v>81983.350207490541</v>
      </c>
      <c r="N80" s="167">
        <f t="shared" si="47"/>
        <v>83623.017211640356</v>
      </c>
      <c r="O80" s="57"/>
      <c r="P80" s="57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</row>
    <row r="81" spans="1:28" s="59" customFormat="1" x14ac:dyDescent="0.25">
      <c r="A81" s="56"/>
      <c r="B81" s="166" t="s">
        <v>36</v>
      </c>
      <c r="C81" s="92"/>
      <c r="D81" s="104"/>
      <c r="E81" s="91">
        <v>0</v>
      </c>
      <c r="F81" s="91">
        <v>0</v>
      </c>
      <c r="G81" s="91">
        <v>0</v>
      </c>
      <c r="H81" s="91">
        <v>0</v>
      </c>
      <c r="I81" s="91">
        <v>0</v>
      </c>
      <c r="J81" s="91">
        <v>0</v>
      </c>
      <c r="K81" s="91">
        <v>0</v>
      </c>
      <c r="L81" s="91">
        <v>0</v>
      </c>
      <c r="M81" s="91">
        <v>0</v>
      </c>
      <c r="N81" s="167">
        <v>0</v>
      </c>
      <c r="O81" s="57"/>
      <c r="P81" s="57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</row>
    <row r="82" spans="1:28" s="59" customFormat="1" x14ac:dyDescent="0.25">
      <c r="A82" s="60"/>
      <c r="B82" s="166" t="s">
        <v>37</v>
      </c>
      <c r="C82" s="94"/>
      <c r="D82" s="104"/>
      <c r="E82" s="91">
        <v>0</v>
      </c>
      <c r="F82" s="91">
        <v>0</v>
      </c>
      <c r="G82" s="91">
        <v>0</v>
      </c>
      <c r="H82" s="91">
        <v>0</v>
      </c>
      <c r="I82" s="91">
        <v>0</v>
      </c>
      <c r="J82" s="91">
        <v>0</v>
      </c>
      <c r="K82" s="91">
        <v>0</v>
      </c>
      <c r="L82" s="91">
        <v>0</v>
      </c>
      <c r="M82" s="91">
        <v>0</v>
      </c>
      <c r="N82" s="167">
        <v>0</v>
      </c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2"/>
      <c r="AA82" s="63"/>
      <c r="AB82" s="58"/>
    </row>
    <row r="83" spans="1:28" s="59" customFormat="1" ht="6" customHeight="1" x14ac:dyDescent="0.25">
      <c r="A83" s="64"/>
      <c r="B83" s="166"/>
      <c r="C83" s="94"/>
      <c r="D83" s="94"/>
      <c r="E83" s="91"/>
      <c r="F83" s="91"/>
      <c r="G83" s="91"/>
      <c r="H83" s="91"/>
      <c r="I83" s="91"/>
      <c r="J83" s="91"/>
      <c r="K83" s="91"/>
      <c r="L83" s="91"/>
      <c r="M83" s="91"/>
      <c r="N83" s="167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2"/>
      <c r="AA83" s="63"/>
      <c r="AB83" s="58"/>
    </row>
    <row r="84" spans="1:28" s="59" customFormat="1" x14ac:dyDescent="0.25">
      <c r="A84" s="56"/>
      <c r="B84" s="164" t="s">
        <v>29</v>
      </c>
      <c r="C84" s="92"/>
      <c r="D84" s="244"/>
      <c r="E84" s="106">
        <f t="shared" ref="E84" si="48">+(E79-D79)-(E74-D74)</f>
        <v>-29988</v>
      </c>
      <c r="F84" s="106">
        <f>+(F79-E79)-(F74-E74)</f>
        <v>-599.76000000000931</v>
      </c>
      <c r="G84" s="106">
        <f t="shared" ref="G84:I84" si="49">+(G79-F79)-(G74-F74)</f>
        <v>-611.75519999998505</v>
      </c>
      <c r="H84" s="106">
        <f t="shared" si="49"/>
        <v>-623.99030400002084</v>
      </c>
      <c r="I84" s="269">
        <f t="shared" si="49"/>
        <v>-636.47011008000118</v>
      </c>
      <c r="J84" s="269">
        <f t="shared" ref="J84" si="50">+(J79-I79)-(J74-I74)</f>
        <v>-649.19951228158607</v>
      </c>
      <c r="K84" s="269">
        <f t="shared" ref="K84" si="51">+(K79-J79)-(K74-J74)</f>
        <v>-662.1835025272303</v>
      </c>
      <c r="L84" s="269">
        <f t="shared" ref="L84" si="52">+(L79-K79)-(L74-K74)</f>
        <v>-675.4271725777653</v>
      </c>
      <c r="M84" s="269">
        <f t="shared" ref="M84" si="53">+(M79-L79)-(M74-L74)</f>
        <v>-688.93571602934389</v>
      </c>
      <c r="N84" s="168">
        <f t="shared" ref="N84" si="54">+(N79-M79)-(N74-M74)</f>
        <v>-702.71443034992262</v>
      </c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2"/>
      <c r="AA84" s="63"/>
      <c r="AB84" s="58"/>
    </row>
    <row r="85" spans="1:28" ht="6" customHeight="1" x14ac:dyDescent="0.25">
      <c r="B85" s="169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170"/>
      <c r="AA85" s="27"/>
    </row>
    <row r="86" spans="1:28" ht="6" customHeight="1" x14ac:dyDescent="0.25">
      <c r="B86" s="171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3"/>
      <c r="AA86" s="27"/>
    </row>
    <row r="87" spans="1:28" x14ac:dyDescent="0.25">
      <c r="AA87" s="27"/>
    </row>
    <row r="88" spans="1:28" x14ac:dyDescent="0.25">
      <c r="AA88" s="27"/>
    </row>
    <row r="89" spans="1:28" x14ac:dyDescent="0.25">
      <c r="AA89" s="27"/>
    </row>
    <row r="90" spans="1:28" x14ac:dyDescent="0.25">
      <c r="AA90" s="27"/>
    </row>
    <row r="91" spans="1:28" x14ac:dyDescent="0.25">
      <c r="AA91" s="27"/>
    </row>
  </sheetData>
  <sheetProtection algorithmName="SHA-512" hashValue="xABfLa7q4DcVBHyBXc+bZgI9AFsBCutx9+eP1VjWp1NRT5DIdYiGQmW0wtMZZB5EtpT8W5Tjcuvw33S236ij5A==" saltValue="F0IJBialzAglZvnEv/TxJw==" spinCount="100000" sheet="1" objects="1" scenarios="1"/>
  <mergeCells count="1">
    <mergeCell ref="E15:N15"/>
  </mergeCells>
  <conditionalFormatting sqref="D50:D51 C65:C67 C69 D61:D63 O30 E41:N42 D44:N47 D56:P56 D23:N25 E26:N26 D27:N31 E55:N55 E49:N53 E60:P63 D40:N40">
    <cfRule type="cellIs" dxfId="14" priority="30" stopIfTrue="1" operator="lessThan">
      <formula>0</formula>
    </cfRule>
  </conditionalFormatting>
  <conditionalFormatting sqref="E39:N39">
    <cfRule type="cellIs" dxfId="13" priority="31" stopIfTrue="1" operator="lessThan">
      <formula>0</formula>
    </cfRule>
  </conditionalFormatting>
  <conditionalFormatting sqref="O37:O38 D57 D32:N32 D48:N48 D58:N59 C72:N72 B86:N86">
    <cfRule type="cellIs" dxfId="12" priority="32" stopIfTrue="1" operator="lessThan">
      <formula>0</formula>
    </cfRule>
  </conditionalFormatting>
  <conditionalFormatting sqref="D41:N41">
    <cfRule type="cellIs" dxfId="11" priority="26" stopIfTrue="1" operator="lessThan">
      <formula>0</formula>
    </cfRule>
  </conditionalFormatting>
  <conditionalFormatting sqref="P57:P59">
    <cfRule type="cellIs" dxfId="10" priority="16" stopIfTrue="1" operator="lessThan">
      <formula>0</formula>
    </cfRule>
  </conditionalFormatting>
  <conditionalFormatting sqref="D43:N43">
    <cfRule type="cellIs" dxfId="9" priority="15" stopIfTrue="1" operator="lessThan">
      <formula>0</formula>
    </cfRule>
  </conditionalFormatting>
  <conditionalFormatting sqref="D18:N18">
    <cfRule type="cellIs" dxfId="8" priority="14" stopIfTrue="1" operator="lessThan">
      <formula>0</formula>
    </cfRule>
  </conditionalFormatting>
  <conditionalFormatting sqref="D21:N21">
    <cfRule type="cellIs" dxfId="7" priority="13" stopIfTrue="1" operator="lessThan">
      <formula>0</formula>
    </cfRule>
  </conditionalFormatting>
  <conditionalFormatting sqref="D26:O28">
    <cfRule type="cellIs" dxfId="6" priority="12" stopIfTrue="1" operator="lessThan">
      <formula>0</formula>
    </cfRule>
  </conditionalFormatting>
  <conditionalFormatting sqref="E57:N57">
    <cfRule type="cellIs" dxfId="5" priority="8" stopIfTrue="1" operator="lessThan">
      <formula>0</formula>
    </cfRule>
  </conditionalFormatting>
  <conditionalFormatting sqref="C68">
    <cfRule type="cellIs" dxfId="4" priority="6" stopIfTrue="1" operator="lessThan">
      <formula>0</formula>
    </cfRule>
  </conditionalFormatting>
  <conditionalFormatting sqref="B72">
    <cfRule type="cellIs" dxfId="3" priority="5" stopIfTrue="1" operator="lessThan">
      <formula>0</formula>
    </cfRule>
  </conditionalFormatting>
  <conditionalFormatting sqref="D74:D77">
    <cfRule type="cellIs" dxfId="2" priority="2" stopIfTrue="1" operator="lessThan">
      <formula>0</formula>
    </cfRule>
  </conditionalFormatting>
  <conditionalFormatting sqref="D79:D82">
    <cfRule type="cellIs" dxfId="1" priority="1" stopIfTrue="1" operator="lessThan">
      <formula>0</formula>
    </cfRule>
  </conditionalFormatting>
  <printOptions horizontalCentered="1" verticalCentered="1"/>
  <pageMargins left="0" right="0" top="0.47244094488188981" bottom="0" header="0.31496062992125984" footer="0"/>
  <pageSetup paperSize="9" scale="69" pageOrder="overThenDown" orientation="landscape" horizontalDpi="300" verticalDpi="300"/>
  <headerFooter alignWithMargins="0">
    <oddFooter>&amp;R&amp;"MyriaMM,Regular"&amp;6&amp;F - &amp;D -&amp;[Time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6:P62"/>
  <sheetViews>
    <sheetView showGridLines="0" zoomScale="90" zoomScaleNormal="90" zoomScalePageLayoutView="90" workbookViewId="0"/>
  </sheetViews>
  <sheetFormatPr defaultColWidth="8.85546875" defaultRowHeight="15.75" x14ac:dyDescent="0.25"/>
  <cols>
    <col min="1" max="1" width="7.28515625" style="3" customWidth="1"/>
    <col min="2" max="2" width="51" style="3" customWidth="1"/>
    <col min="3" max="3" width="10.42578125" style="3" customWidth="1"/>
    <col min="4" max="9" width="15.42578125" style="3" customWidth="1"/>
    <col min="10" max="14" width="11.42578125" style="3" bestFit="1" customWidth="1"/>
    <col min="15" max="16" width="10.42578125" style="3" bestFit="1" customWidth="1"/>
    <col min="17" max="16384" width="8.85546875" style="3"/>
  </cols>
  <sheetData>
    <row r="6" spans="2:14" x14ac:dyDescent="0.25">
      <c r="B6" s="100" t="str">
        <f>'FDC - Empresa'!B6</f>
        <v>EMPRESA ABC</v>
      </c>
    </row>
    <row r="7" spans="2:14" x14ac:dyDescent="0.25">
      <c r="B7" s="100" t="s">
        <v>89</v>
      </c>
    </row>
    <row r="8" spans="2:14" x14ac:dyDescent="0.25">
      <c r="B8" s="101" t="str">
        <f>'FDC - Empresa'!B8</f>
        <v>Moeda: R$</v>
      </c>
    </row>
    <row r="9" spans="2:14" x14ac:dyDescent="0.25">
      <c r="B9" s="101" t="str">
        <f>'FDC - Empresa'!B9</f>
        <v>Modelo: em termos reais (não contempla inflação) e debt-free (dívida descontada após o fluxo)</v>
      </c>
    </row>
    <row r="10" spans="2:14" x14ac:dyDescent="0.25">
      <c r="B10" s="101" t="str">
        <f>'FDC - Empresa'!B10</f>
        <v>Regime de tributação: Lucro Real</v>
      </c>
      <c r="C10" s="14"/>
    </row>
    <row r="11" spans="2:14" x14ac:dyDescent="0.25">
      <c r="B11" s="101" t="s">
        <v>122</v>
      </c>
      <c r="C11" s="225">
        <f>'Dados - Premissas'!C36</f>
        <v>0.2</v>
      </c>
    </row>
    <row r="12" spans="2:14" x14ac:dyDescent="0.25">
      <c r="B12" s="101" t="s">
        <v>112</v>
      </c>
      <c r="C12" s="225">
        <f>'Dados - Premissas'!C46</f>
        <v>-0.1</v>
      </c>
    </row>
    <row r="13" spans="2:14" x14ac:dyDescent="0.25">
      <c r="C13" s="5"/>
      <c r="D13" s="4"/>
      <c r="E13" s="4"/>
      <c r="F13" s="4"/>
      <c r="H13" s="6"/>
      <c r="I13" s="6"/>
    </row>
    <row r="14" spans="2:14" x14ac:dyDescent="0.25">
      <c r="B14" s="109" t="s">
        <v>88</v>
      </c>
      <c r="C14" s="110"/>
      <c r="D14" s="136">
        <v>2016</v>
      </c>
      <c r="E14" s="136" t="s">
        <v>16</v>
      </c>
      <c r="F14" s="136" t="s">
        <v>17</v>
      </c>
      <c r="G14" s="136" t="s">
        <v>18</v>
      </c>
      <c r="H14" s="136" t="s">
        <v>19</v>
      </c>
      <c r="I14" s="136" t="s">
        <v>20</v>
      </c>
      <c r="J14" s="136" t="s">
        <v>129</v>
      </c>
      <c r="K14" s="136" t="s">
        <v>130</v>
      </c>
      <c r="L14" s="136" t="s">
        <v>131</v>
      </c>
      <c r="M14" s="136" t="s">
        <v>132</v>
      </c>
      <c r="N14" s="138" t="s">
        <v>133</v>
      </c>
    </row>
    <row r="15" spans="2:14" x14ac:dyDescent="0.25">
      <c r="B15" s="18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39"/>
    </row>
    <row r="16" spans="2:14" x14ac:dyDescent="0.25">
      <c r="B16" s="181" t="s">
        <v>14</v>
      </c>
      <c r="C16" s="8"/>
      <c r="D16" s="9">
        <f>'FDC - Empresa'!D30</f>
        <v>1008420</v>
      </c>
      <c r="E16" s="9">
        <f>'FDC - Empresa'!E30</f>
        <v>1028588.4</v>
      </c>
      <c r="F16" s="9">
        <f>'FDC - Empresa'!F30</f>
        <v>1049160.1680000001</v>
      </c>
      <c r="G16" s="9">
        <f>'FDC - Empresa'!G30</f>
        <v>1070143.37136</v>
      </c>
      <c r="H16" s="9">
        <f>'FDC - Empresa'!H30</f>
        <v>1091546.2387872001</v>
      </c>
      <c r="I16" s="9">
        <f>'FDC - Empresa'!I30</f>
        <v>1113377.1635629442</v>
      </c>
      <c r="J16" s="9">
        <f>'FDC - Empresa'!J30</f>
        <v>1135644.7068342031</v>
      </c>
      <c r="K16" s="9">
        <f>'FDC - Empresa'!K30</f>
        <v>1158357.6009708871</v>
      </c>
      <c r="L16" s="9">
        <f>'FDC - Empresa'!L30</f>
        <v>1181524.7529903047</v>
      </c>
      <c r="M16" s="9">
        <f>'FDC - Empresa'!M30</f>
        <v>1205155.2480501109</v>
      </c>
      <c r="N16" s="182">
        <f>'FDC - Empresa'!N30</f>
        <v>1229258.3530111131</v>
      </c>
    </row>
    <row r="17" spans="2:14" x14ac:dyDescent="0.25">
      <c r="B17" s="181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182"/>
    </row>
    <row r="18" spans="2:14" x14ac:dyDescent="0.25">
      <c r="B18" s="180" t="s">
        <v>84</v>
      </c>
      <c r="C18" s="11"/>
      <c r="D18" s="11">
        <v>1</v>
      </c>
      <c r="E18" s="12">
        <f>D18+$C$12</f>
        <v>0.9</v>
      </c>
      <c r="F18" s="12">
        <f>E18+$C$12</f>
        <v>0.8</v>
      </c>
      <c r="G18" s="12">
        <f>F18+$C$12</f>
        <v>0.70000000000000007</v>
      </c>
      <c r="H18" s="12">
        <f>G18+$C$12</f>
        <v>0.60000000000000009</v>
      </c>
      <c r="I18" s="13">
        <f>H18+$C$12</f>
        <v>0.50000000000000011</v>
      </c>
      <c r="J18" s="13">
        <f t="shared" ref="J18:N18" si="0">I18+$C$12</f>
        <v>0.40000000000000013</v>
      </c>
      <c r="K18" s="13">
        <f t="shared" si="0"/>
        <v>0.30000000000000016</v>
      </c>
      <c r="L18" s="13">
        <f t="shared" si="0"/>
        <v>0.20000000000000015</v>
      </c>
      <c r="M18" s="13">
        <f t="shared" si="0"/>
        <v>0.10000000000000014</v>
      </c>
      <c r="N18" s="183">
        <f t="shared" si="0"/>
        <v>1.3877787807814457E-16</v>
      </c>
    </row>
    <row r="19" spans="2:14" x14ac:dyDescent="0.25">
      <c r="B19" s="180" t="s">
        <v>85</v>
      </c>
      <c r="C19" s="8"/>
      <c r="D19" s="13">
        <f t="shared" ref="D19" si="1">AVERAGE(C18:D18)</f>
        <v>1</v>
      </c>
      <c r="E19" s="13">
        <f>AVERAGE(D18:E18)</f>
        <v>0.95</v>
      </c>
      <c r="F19" s="13">
        <f>AVERAGE(E18:F18)</f>
        <v>0.85000000000000009</v>
      </c>
      <c r="G19" s="13">
        <f>AVERAGE(F18:G18)</f>
        <v>0.75</v>
      </c>
      <c r="H19" s="13">
        <f>AVERAGE(G18:H18)</f>
        <v>0.65000000000000013</v>
      </c>
      <c r="I19" s="13">
        <f>AVERAGE(H18:I18)</f>
        <v>0.55000000000000004</v>
      </c>
      <c r="J19" s="13">
        <f t="shared" ref="J19:N19" si="2">AVERAGE(I18:J18)</f>
        <v>0.45000000000000012</v>
      </c>
      <c r="K19" s="13">
        <f t="shared" si="2"/>
        <v>0.35000000000000014</v>
      </c>
      <c r="L19" s="13">
        <f t="shared" si="2"/>
        <v>0.25000000000000017</v>
      </c>
      <c r="M19" s="13">
        <f t="shared" si="2"/>
        <v>0.15000000000000013</v>
      </c>
      <c r="N19" s="183">
        <f t="shared" si="2"/>
        <v>5.0000000000000142E-2</v>
      </c>
    </row>
    <row r="20" spans="2:14" x14ac:dyDescent="0.25">
      <c r="B20" s="181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182"/>
    </row>
    <row r="21" spans="2:14" x14ac:dyDescent="0.25">
      <c r="B21" s="181" t="s">
        <v>13</v>
      </c>
      <c r="C21" s="8"/>
      <c r="D21" s="178">
        <f>D16*D19</f>
        <v>1008420</v>
      </c>
      <c r="E21" s="178">
        <f>E16*E19</f>
        <v>977158.98</v>
      </c>
      <c r="F21" s="178">
        <f t="shared" ref="F21:H21" si="3">F16*F19</f>
        <v>891786.14280000015</v>
      </c>
      <c r="G21" s="178">
        <f t="shared" si="3"/>
        <v>802607.52851999993</v>
      </c>
      <c r="H21" s="178">
        <f t="shared" si="3"/>
        <v>709505.05521168024</v>
      </c>
      <c r="I21" s="178">
        <f>I16*I19</f>
        <v>612357.43995961931</v>
      </c>
      <c r="J21" s="178">
        <f t="shared" ref="J21:N21" si="4">J16*J19</f>
        <v>511040.11807539151</v>
      </c>
      <c r="K21" s="178">
        <f t="shared" si="4"/>
        <v>405425.16033981065</v>
      </c>
      <c r="L21" s="178">
        <f t="shared" si="4"/>
        <v>295381.18824757636</v>
      </c>
      <c r="M21" s="178">
        <f t="shared" si="4"/>
        <v>180773.28720751678</v>
      </c>
      <c r="N21" s="270">
        <f t="shared" si="4"/>
        <v>61462.917650555828</v>
      </c>
    </row>
    <row r="22" spans="2:14" x14ac:dyDescent="0.25">
      <c r="B22" s="180"/>
      <c r="C22" s="10"/>
      <c r="D22" s="174"/>
      <c r="E22" s="13"/>
      <c r="F22" s="13"/>
      <c r="G22" s="13"/>
      <c r="H22" s="13"/>
      <c r="I22" s="13"/>
      <c r="J22" s="13"/>
      <c r="K22" s="13"/>
      <c r="L22" s="13"/>
      <c r="M22" s="13"/>
      <c r="N22" s="183"/>
    </row>
    <row r="23" spans="2:14" x14ac:dyDescent="0.25">
      <c r="B23" s="180" t="s">
        <v>12</v>
      </c>
      <c r="C23" s="10"/>
      <c r="D23" s="18">
        <f>D19*'FDC - Empresa'!D32</f>
        <v>-823200</v>
      </c>
      <c r="E23" s="18">
        <f>E19*'FDC - Empresa'!E32</f>
        <v>-797680.79999999993</v>
      </c>
      <c r="F23" s="18">
        <f>F19*'FDC - Empresa'!F32</f>
        <v>-727988.6880000002</v>
      </c>
      <c r="G23" s="18">
        <f>G19*'FDC - Empresa'!G32</f>
        <v>-655189.81920000003</v>
      </c>
      <c r="H23" s="18">
        <f>H19*'FDC - Empresa'!H32</f>
        <v>-579187.80017280008</v>
      </c>
      <c r="I23" s="18">
        <f>I19*'FDC - Empresa'!I32</f>
        <v>-499883.62445683207</v>
      </c>
      <c r="J23" s="18">
        <f>J19*'FDC - Empresa'!J32</f>
        <v>-417175.60659215634</v>
      </c>
      <c r="K23" s="18">
        <f>K19*'FDC - Empresa'!K32</f>
        <v>-330959.31456311076</v>
      </c>
      <c r="L23" s="18">
        <f>L19*'FDC - Empresa'!L32</f>
        <v>-241127.50061026649</v>
      </c>
      <c r="M23" s="18">
        <f>M19*'FDC - Empresa'!M32</f>
        <v>-147570.03037348311</v>
      </c>
      <c r="N23" s="141">
        <f>N19*'FDC - Empresa'!N32</f>
        <v>-50173.810326984356</v>
      </c>
    </row>
    <row r="24" spans="2:14" x14ac:dyDescent="0.25">
      <c r="B24" s="180"/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184"/>
    </row>
    <row r="25" spans="2:14" x14ac:dyDescent="0.25">
      <c r="B25" s="181" t="s">
        <v>11</v>
      </c>
      <c r="C25" s="7"/>
      <c r="D25" s="177">
        <f t="shared" ref="D25:I25" si="5">D21+D23</f>
        <v>185220</v>
      </c>
      <c r="E25" s="177">
        <f t="shared" si="5"/>
        <v>179478.18000000005</v>
      </c>
      <c r="F25" s="177">
        <f t="shared" si="5"/>
        <v>163797.45479999995</v>
      </c>
      <c r="G25" s="177">
        <f t="shared" si="5"/>
        <v>147417.70931999991</v>
      </c>
      <c r="H25" s="177">
        <f t="shared" si="5"/>
        <v>130317.25503888016</v>
      </c>
      <c r="I25" s="177">
        <f t="shared" si="5"/>
        <v>112473.81550278724</v>
      </c>
      <c r="J25" s="177">
        <f t="shared" ref="J25:N25" si="6">J21+J23</f>
        <v>93864.511483235168</v>
      </c>
      <c r="K25" s="177">
        <f t="shared" si="6"/>
        <v>74465.845776699891</v>
      </c>
      <c r="L25" s="177">
        <f t="shared" si="6"/>
        <v>54253.687637309864</v>
      </c>
      <c r="M25" s="177">
        <f t="shared" si="6"/>
        <v>33203.256834033673</v>
      </c>
      <c r="N25" s="271">
        <f t="shared" si="6"/>
        <v>11289.107323571472</v>
      </c>
    </row>
    <row r="26" spans="2:14" x14ac:dyDescent="0.25">
      <c r="B26" s="185" t="s">
        <v>55</v>
      </c>
      <c r="C26" s="175"/>
      <c r="D26" s="176">
        <f t="shared" ref="D26:I26" si="7">D25/D21</f>
        <v>0.18367346938775511</v>
      </c>
      <c r="E26" s="176">
        <f t="shared" si="7"/>
        <v>0.18367346938775517</v>
      </c>
      <c r="F26" s="176">
        <f t="shared" si="7"/>
        <v>0.183673469387755</v>
      </c>
      <c r="G26" s="176">
        <f>G25/G21</f>
        <v>0.183673469387755</v>
      </c>
      <c r="H26" s="176">
        <f t="shared" si="7"/>
        <v>0.18367346938775528</v>
      </c>
      <c r="I26" s="176">
        <f t="shared" si="7"/>
        <v>0.18367346938775514</v>
      </c>
      <c r="J26" s="176">
        <f t="shared" ref="J26:N26" si="8">J25/J21</f>
        <v>0.18367346938775508</v>
      </c>
      <c r="K26" s="176">
        <f t="shared" si="8"/>
        <v>0.18367346938775503</v>
      </c>
      <c r="L26" s="176">
        <f t="shared" si="8"/>
        <v>0.18367346938775483</v>
      </c>
      <c r="M26" s="176">
        <f t="shared" si="8"/>
        <v>0.18367346938775497</v>
      </c>
      <c r="N26" s="186">
        <f t="shared" si="8"/>
        <v>0.183673469387755</v>
      </c>
    </row>
    <row r="27" spans="2:14" x14ac:dyDescent="0.25">
      <c r="B27" s="180"/>
      <c r="C27" s="10"/>
      <c r="D27" s="2"/>
      <c r="E27" s="2"/>
      <c r="F27" s="2"/>
      <c r="G27" s="2"/>
      <c r="H27" s="2"/>
      <c r="I27" s="2"/>
      <c r="J27" s="2"/>
      <c r="K27" s="2"/>
      <c r="L27" s="2"/>
      <c r="M27" s="2"/>
      <c r="N27" s="184"/>
    </row>
    <row r="28" spans="2:14" x14ac:dyDescent="0.25">
      <c r="B28" s="180" t="s">
        <v>41</v>
      </c>
      <c r="C28" s="10"/>
      <c r="D28" s="18">
        <f>D19*'FDC - Empresa'!D43</f>
        <v>0</v>
      </c>
      <c r="E28" s="18">
        <f>E19*'FDC - Empresa'!E43</f>
        <v>0</v>
      </c>
      <c r="F28" s="18">
        <f>F19*'FDC - Empresa'!F43</f>
        <v>0</v>
      </c>
      <c r="G28" s="18">
        <f>G19*'FDC - Empresa'!G43</f>
        <v>0</v>
      </c>
      <c r="H28" s="18">
        <f>H19*'FDC - Empresa'!H43</f>
        <v>0</v>
      </c>
      <c r="I28" s="18">
        <f>I19*'FDC - Empresa'!I43</f>
        <v>0</v>
      </c>
      <c r="J28" s="18">
        <f>J19*'FDC - Empresa'!J43</f>
        <v>0</v>
      </c>
      <c r="K28" s="18">
        <f>K19*'FDC - Empresa'!K43</f>
        <v>0</v>
      </c>
      <c r="L28" s="18">
        <f>L19*'FDC - Empresa'!L43</f>
        <v>0</v>
      </c>
      <c r="M28" s="18">
        <f>M19*'FDC - Empresa'!M43</f>
        <v>0</v>
      </c>
      <c r="N28" s="141">
        <f>N19*'FDC - Empresa'!N43</f>
        <v>0</v>
      </c>
    </row>
    <row r="29" spans="2:14" x14ac:dyDescent="0.25">
      <c r="B29" s="180"/>
      <c r="C29" s="10"/>
      <c r="D29" s="8"/>
      <c r="E29" s="8"/>
      <c r="F29" s="8"/>
      <c r="G29" s="8"/>
      <c r="H29" s="8"/>
      <c r="I29" s="8"/>
      <c r="J29" s="8"/>
      <c r="K29" s="8"/>
      <c r="L29" s="8"/>
      <c r="M29" s="8"/>
      <c r="N29" s="187"/>
    </row>
    <row r="30" spans="2:14" x14ac:dyDescent="0.25">
      <c r="B30" s="181" t="s">
        <v>86</v>
      </c>
      <c r="C30" s="7"/>
      <c r="D30" s="179">
        <f t="shared" ref="D30:I30" si="9">D25+D28</f>
        <v>185220</v>
      </c>
      <c r="E30" s="179">
        <f t="shared" si="9"/>
        <v>179478.18000000005</v>
      </c>
      <c r="F30" s="179">
        <f t="shared" si="9"/>
        <v>163797.45479999995</v>
      </c>
      <c r="G30" s="179">
        <f t="shared" si="9"/>
        <v>147417.70931999991</v>
      </c>
      <c r="H30" s="179">
        <f t="shared" si="9"/>
        <v>130317.25503888016</v>
      </c>
      <c r="I30" s="179">
        <f t="shared" si="9"/>
        <v>112473.81550278724</v>
      </c>
      <c r="J30" s="179">
        <f t="shared" ref="J30:N30" si="10">J25+J28</f>
        <v>93864.511483235168</v>
      </c>
      <c r="K30" s="179">
        <f t="shared" si="10"/>
        <v>74465.845776699891</v>
      </c>
      <c r="L30" s="179">
        <f t="shared" si="10"/>
        <v>54253.687637309864</v>
      </c>
      <c r="M30" s="179">
        <f t="shared" si="10"/>
        <v>33203.256834033673</v>
      </c>
      <c r="N30" s="272">
        <f t="shared" si="10"/>
        <v>11289.107323571472</v>
      </c>
    </row>
    <row r="31" spans="2:14" x14ac:dyDescent="0.25">
      <c r="B31" s="180"/>
      <c r="C31" s="10"/>
      <c r="D31" s="188"/>
      <c r="E31" s="2"/>
      <c r="F31" s="2"/>
      <c r="G31" s="2"/>
      <c r="H31" s="2"/>
      <c r="I31" s="2"/>
      <c r="J31" s="2"/>
      <c r="K31" s="2"/>
      <c r="L31" s="2"/>
      <c r="M31" s="2"/>
      <c r="N31" s="184"/>
    </row>
    <row r="32" spans="2:14" x14ac:dyDescent="0.25">
      <c r="B32" s="180" t="s">
        <v>62</v>
      </c>
      <c r="C32" s="175">
        <f>'FDC - Empresa'!C13</f>
        <v>0.34</v>
      </c>
      <c r="D32" s="18">
        <f>-$C$32*D30</f>
        <v>-62974.8</v>
      </c>
      <c r="E32" s="18">
        <f t="shared" ref="E32:I32" si="11">-$C$32*E30</f>
        <v>-61022.581200000022</v>
      </c>
      <c r="F32" s="18">
        <f t="shared" si="11"/>
        <v>-55691.134631999987</v>
      </c>
      <c r="G32" s="18">
        <f t="shared" si="11"/>
        <v>-50122.021168799969</v>
      </c>
      <c r="H32" s="18">
        <f t="shared" si="11"/>
        <v>-44307.866713219257</v>
      </c>
      <c r="I32" s="18">
        <f t="shared" si="11"/>
        <v>-38241.097270947663</v>
      </c>
      <c r="J32" s="18">
        <f t="shared" ref="J32:N32" si="12">-$C$32*J30</f>
        <v>-31913.93390429996</v>
      </c>
      <c r="K32" s="18">
        <f t="shared" si="12"/>
        <v>-25318.387564077966</v>
      </c>
      <c r="L32" s="18">
        <f t="shared" si="12"/>
        <v>-18446.253796685356</v>
      </c>
      <c r="M32" s="18">
        <f t="shared" si="12"/>
        <v>-11289.10732357145</v>
      </c>
      <c r="N32" s="141">
        <f t="shared" si="12"/>
        <v>-3838.2964900143006</v>
      </c>
    </row>
    <row r="33" spans="2:16" x14ac:dyDescent="0.25">
      <c r="B33" s="180"/>
      <c r="C33" s="10"/>
      <c r="D33" s="188"/>
      <c r="E33" s="2"/>
      <c r="F33" s="2"/>
      <c r="G33" s="2"/>
      <c r="H33" s="2"/>
      <c r="I33" s="2"/>
      <c r="J33" s="2"/>
      <c r="K33" s="2"/>
      <c r="L33" s="2"/>
      <c r="M33" s="2"/>
      <c r="N33" s="184"/>
    </row>
    <row r="34" spans="2:16" x14ac:dyDescent="0.25">
      <c r="B34" s="189" t="s">
        <v>87</v>
      </c>
      <c r="C34" s="7"/>
      <c r="D34" s="179">
        <f t="shared" ref="D34:I34" si="13">D30+D32</f>
        <v>122245.2</v>
      </c>
      <c r="E34" s="179">
        <f t="shared" si="13"/>
        <v>118455.59880000004</v>
      </c>
      <c r="F34" s="179">
        <f t="shared" si="13"/>
        <v>108106.32016799996</v>
      </c>
      <c r="G34" s="179">
        <f t="shared" si="13"/>
        <v>97295.688151199938</v>
      </c>
      <c r="H34" s="179">
        <f t="shared" si="13"/>
        <v>86009.388325660897</v>
      </c>
      <c r="I34" s="179">
        <f t="shared" si="13"/>
        <v>74232.718231839579</v>
      </c>
      <c r="J34" s="179">
        <f t="shared" ref="J34:N34" si="14">J30+J32</f>
        <v>61950.577578935205</v>
      </c>
      <c r="K34" s="179">
        <f t="shared" si="14"/>
        <v>49147.458212621925</v>
      </c>
      <c r="L34" s="179">
        <f t="shared" si="14"/>
        <v>35807.433840624508</v>
      </c>
      <c r="M34" s="179">
        <f t="shared" si="14"/>
        <v>21914.149510462223</v>
      </c>
      <c r="N34" s="272">
        <f t="shared" si="14"/>
        <v>7450.8108335571715</v>
      </c>
    </row>
    <row r="35" spans="2:16" x14ac:dyDescent="0.25">
      <c r="B35" s="180"/>
      <c r="C35" s="10"/>
      <c r="D35" s="2"/>
      <c r="E35" s="2"/>
      <c r="F35" s="2"/>
      <c r="G35" s="2"/>
      <c r="H35" s="2"/>
      <c r="I35" s="2"/>
      <c r="J35" s="2"/>
      <c r="K35" s="2"/>
      <c r="L35" s="2"/>
      <c r="M35" s="2"/>
      <c r="N35" s="184"/>
    </row>
    <row r="36" spans="2:16" x14ac:dyDescent="0.25">
      <c r="B36" s="189" t="s">
        <v>124</v>
      </c>
      <c r="C36" s="7"/>
      <c r="D36" s="179">
        <v>0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0</v>
      </c>
      <c r="K36" s="179">
        <v>0</v>
      </c>
      <c r="L36" s="179">
        <v>0</v>
      </c>
      <c r="M36" s="179">
        <v>0</v>
      </c>
      <c r="N36" s="272">
        <v>0</v>
      </c>
    </row>
    <row r="37" spans="2:16" ht="16.5" thickBot="1" x14ac:dyDescent="0.3">
      <c r="B37" s="180"/>
      <c r="C37" s="10"/>
      <c r="D37" s="2"/>
      <c r="E37" s="2"/>
      <c r="F37" s="2"/>
      <c r="G37" s="2"/>
      <c r="H37" s="2"/>
      <c r="I37" s="2"/>
      <c r="J37" s="2"/>
      <c r="K37" s="2"/>
      <c r="L37" s="2"/>
      <c r="M37" s="2"/>
      <c r="N37" s="184"/>
    </row>
    <row r="38" spans="2:16" ht="16.5" thickTop="1" x14ac:dyDescent="0.25">
      <c r="B38" s="190" t="s">
        <v>91</v>
      </c>
      <c r="C38" s="191"/>
      <c r="D38" s="192">
        <f t="shared" ref="D38:I38" si="15">D36+D34</f>
        <v>122245.2</v>
      </c>
      <c r="E38" s="192">
        <f t="shared" si="15"/>
        <v>118455.59880000004</v>
      </c>
      <c r="F38" s="192">
        <f t="shared" si="15"/>
        <v>108106.32016799996</v>
      </c>
      <c r="G38" s="192">
        <f t="shared" si="15"/>
        <v>97295.688151199938</v>
      </c>
      <c r="H38" s="192">
        <f t="shared" si="15"/>
        <v>86009.388325660897</v>
      </c>
      <c r="I38" s="192">
        <f t="shared" si="15"/>
        <v>74232.718231839579</v>
      </c>
      <c r="J38" s="192">
        <f t="shared" ref="J38:N38" si="16">J36+J34</f>
        <v>61950.577578935205</v>
      </c>
      <c r="K38" s="192">
        <f t="shared" si="16"/>
        <v>49147.458212621925</v>
      </c>
      <c r="L38" s="192">
        <f t="shared" si="16"/>
        <v>35807.433840624508</v>
      </c>
      <c r="M38" s="192">
        <f t="shared" si="16"/>
        <v>21914.149510462223</v>
      </c>
      <c r="N38" s="273">
        <f t="shared" si="16"/>
        <v>7450.8108335571715</v>
      </c>
    </row>
    <row r="39" spans="2:16" x14ac:dyDescent="0.25">
      <c r="D39" s="14"/>
      <c r="E39" s="14"/>
      <c r="F39" s="14"/>
      <c r="G39" s="14"/>
      <c r="H39" s="14"/>
      <c r="I39" s="2"/>
      <c r="J39" s="2"/>
      <c r="K39" s="2"/>
      <c r="L39" s="2"/>
      <c r="M39" s="2"/>
      <c r="N39" s="2"/>
    </row>
    <row r="40" spans="2:16" x14ac:dyDescent="0.25">
      <c r="B40" s="135" t="s">
        <v>78</v>
      </c>
      <c r="C40" s="138" t="s">
        <v>56</v>
      </c>
      <c r="D40" s="14"/>
      <c r="E40" s="14"/>
      <c r="F40" s="14"/>
      <c r="G40" s="14"/>
      <c r="H40" s="14"/>
      <c r="I40" s="2"/>
      <c r="J40" s="2"/>
      <c r="K40" s="2"/>
      <c r="L40" s="2"/>
      <c r="M40" s="2"/>
      <c r="N40" s="2"/>
    </row>
    <row r="41" spans="2:16" x14ac:dyDescent="0.25">
      <c r="B41" s="181" t="s">
        <v>92</v>
      </c>
      <c r="C41" s="193">
        <f>NPV(C11,E38:N38)</f>
        <v>349644.36298432987</v>
      </c>
      <c r="G41" s="14"/>
      <c r="H41" s="14"/>
      <c r="I41" s="2"/>
      <c r="J41" s="2"/>
      <c r="K41" s="2"/>
      <c r="L41" s="2"/>
      <c r="M41" s="2"/>
      <c r="N41" s="2"/>
    </row>
    <row r="42" spans="2:16" x14ac:dyDescent="0.25">
      <c r="B42" s="180" t="s">
        <v>90</v>
      </c>
      <c r="C42" s="141">
        <v>0</v>
      </c>
      <c r="G42" s="14"/>
      <c r="H42" s="14"/>
      <c r="I42" s="2"/>
      <c r="J42" s="2"/>
      <c r="K42" s="2"/>
      <c r="L42" s="2"/>
      <c r="M42" s="2"/>
      <c r="N42" s="2"/>
    </row>
    <row r="43" spans="2:16" ht="16.5" thickBot="1" x14ac:dyDescent="0.3">
      <c r="B43" s="240" t="s">
        <v>75</v>
      </c>
      <c r="C43" s="141">
        <f>'Dados - Premissas'!C49</f>
        <v>0</v>
      </c>
      <c r="G43" s="14"/>
      <c r="H43" s="14"/>
      <c r="I43" s="2"/>
      <c r="J43" s="2"/>
      <c r="K43" s="2"/>
      <c r="L43" s="2"/>
      <c r="M43" s="2"/>
      <c r="N43" s="2"/>
    </row>
    <row r="44" spans="2:16" ht="16.5" thickTop="1" x14ac:dyDescent="0.25">
      <c r="B44" s="194" t="s">
        <v>93</v>
      </c>
      <c r="C44" s="195">
        <f>C41+C42+C43</f>
        <v>349644.36298432987</v>
      </c>
      <c r="G44" s="14"/>
      <c r="H44" s="14"/>
      <c r="I44" s="2"/>
      <c r="J44" s="2"/>
      <c r="K44" s="2"/>
      <c r="L44" s="2"/>
      <c r="M44" s="2"/>
      <c r="N44" s="2"/>
    </row>
    <row r="45" spans="2:16" x14ac:dyDescent="0.25">
      <c r="I45" s="10"/>
      <c r="J45" s="10"/>
      <c r="K45" s="10"/>
      <c r="L45" s="10"/>
      <c r="M45" s="10"/>
      <c r="N45" s="10"/>
    </row>
    <row r="46" spans="2:16" x14ac:dyDescent="0.25">
      <c r="I46" s="10"/>
      <c r="J46" s="10"/>
      <c r="K46" s="10"/>
      <c r="L46" s="10"/>
      <c r="M46" s="10"/>
      <c r="N46" s="10"/>
    </row>
    <row r="47" spans="2:16" x14ac:dyDescent="0.25">
      <c r="B47" s="158" t="s">
        <v>95</v>
      </c>
      <c r="C47" s="159"/>
      <c r="D47" s="160">
        <v>2016</v>
      </c>
      <c r="E47" s="160" t="s">
        <v>16</v>
      </c>
      <c r="F47" s="160" t="s">
        <v>17</v>
      </c>
      <c r="G47" s="160" t="s">
        <v>18</v>
      </c>
      <c r="H47" s="160" t="s">
        <v>19</v>
      </c>
      <c r="I47" s="160" t="s">
        <v>20</v>
      </c>
      <c r="J47" s="160" t="s">
        <v>129</v>
      </c>
      <c r="K47" s="160" t="s">
        <v>130</v>
      </c>
      <c r="L47" s="160" t="s">
        <v>131</v>
      </c>
      <c r="M47" s="160" t="s">
        <v>132</v>
      </c>
      <c r="N47" s="161" t="s">
        <v>133</v>
      </c>
    </row>
    <row r="48" spans="2:16" x14ac:dyDescent="0.25">
      <c r="B48" s="180" t="s">
        <v>8</v>
      </c>
      <c r="C48" s="8"/>
      <c r="D48" s="18">
        <f>'FDC - Empresa'!D59</f>
        <v>0</v>
      </c>
      <c r="E48" s="18">
        <f>'FDC - Empresa'!E59</f>
        <v>-29988</v>
      </c>
      <c r="F48" s="18">
        <f>'FDC - Empresa'!F59</f>
        <v>-599.76000000000931</v>
      </c>
      <c r="G48" s="18">
        <f>'FDC - Empresa'!G59</f>
        <v>-611.75519999998505</v>
      </c>
      <c r="H48" s="18">
        <f>'FDC - Empresa'!H59</f>
        <v>-623.99030400002084</v>
      </c>
      <c r="I48" s="18">
        <f>'FDC - Empresa'!I59</f>
        <v>-636.47011008000118</v>
      </c>
      <c r="J48" s="18">
        <f>'FDC - Empresa'!J59</f>
        <v>-649.19951228158607</v>
      </c>
      <c r="K48" s="18">
        <f>'FDC - Empresa'!K59</f>
        <v>-662.1835025272303</v>
      </c>
      <c r="L48" s="18">
        <f>'FDC - Empresa'!L59</f>
        <v>-675.4271725777653</v>
      </c>
      <c r="M48" s="18">
        <f>'FDC - Empresa'!M59</f>
        <v>-688.93571602934389</v>
      </c>
      <c r="N48" s="141">
        <f>'FDC - Empresa'!N59</f>
        <v>-702.71443034992262</v>
      </c>
      <c r="O48" s="15"/>
      <c r="P48" s="15"/>
    </row>
    <row r="49" spans="2:16" x14ac:dyDescent="0.25">
      <c r="B49" s="180"/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96"/>
      <c r="O49" s="15"/>
      <c r="P49" s="15"/>
    </row>
    <row r="50" spans="2:16" x14ac:dyDescent="0.25">
      <c r="B50" s="180" t="s">
        <v>94</v>
      </c>
      <c r="C50" s="10"/>
      <c r="D50" s="2"/>
      <c r="E50" s="10"/>
      <c r="F50" s="10"/>
      <c r="G50" s="10"/>
      <c r="H50" s="10"/>
      <c r="I50" s="10"/>
      <c r="J50" s="10"/>
      <c r="K50" s="10"/>
      <c r="L50" s="10"/>
      <c r="M50" s="10"/>
      <c r="N50" s="139"/>
    </row>
    <row r="51" spans="2:16" x14ac:dyDescent="0.25">
      <c r="B51" s="180" t="s">
        <v>7</v>
      </c>
      <c r="C51" s="10"/>
      <c r="D51" s="17">
        <v>200</v>
      </c>
      <c r="E51" s="17">
        <f>D55</f>
        <v>190</v>
      </c>
      <c r="F51" s="17">
        <f>E55</f>
        <v>180</v>
      </c>
      <c r="G51" s="17">
        <f>F55</f>
        <v>170</v>
      </c>
      <c r="H51" s="17">
        <f>G55</f>
        <v>160</v>
      </c>
      <c r="I51" s="17">
        <f>H55</f>
        <v>150</v>
      </c>
      <c r="J51" s="17">
        <f t="shared" ref="J51:N51" si="17">I55</f>
        <v>140</v>
      </c>
      <c r="K51" s="17">
        <f t="shared" si="17"/>
        <v>130</v>
      </c>
      <c r="L51" s="17">
        <f t="shared" si="17"/>
        <v>120</v>
      </c>
      <c r="M51" s="17">
        <f t="shared" si="17"/>
        <v>110</v>
      </c>
      <c r="N51" s="197">
        <f t="shared" si="17"/>
        <v>100</v>
      </c>
    </row>
    <row r="52" spans="2:16" x14ac:dyDescent="0.25">
      <c r="B52" s="180" t="s">
        <v>6</v>
      </c>
      <c r="C52" s="10"/>
      <c r="D52" s="18">
        <f>'FDC - Empresa'!D43</f>
        <v>0</v>
      </c>
      <c r="E52" s="18">
        <f>'FDC - Empresa'!E43</f>
        <v>0</v>
      </c>
      <c r="F52" s="18">
        <f>'FDC - Empresa'!F43</f>
        <v>0</v>
      </c>
      <c r="G52" s="18">
        <f>'FDC - Empresa'!G43</f>
        <v>0</v>
      </c>
      <c r="H52" s="18">
        <f>'FDC - Empresa'!H43</f>
        <v>0</v>
      </c>
      <c r="I52" s="18">
        <f>'FDC - Empresa'!I43</f>
        <v>0</v>
      </c>
      <c r="J52" s="18">
        <f>'FDC - Empresa'!J43</f>
        <v>0</v>
      </c>
      <c r="K52" s="18">
        <f>'FDC - Empresa'!K43</f>
        <v>0</v>
      </c>
      <c r="L52" s="18">
        <f>'FDC - Empresa'!L43</f>
        <v>0</v>
      </c>
      <c r="M52" s="18">
        <f>'FDC - Empresa'!M43</f>
        <v>0</v>
      </c>
      <c r="N52" s="141">
        <f>'FDC - Empresa'!N43</f>
        <v>0</v>
      </c>
    </row>
    <row r="53" spans="2:16" x14ac:dyDescent="0.25">
      <c r="B53" s="180" t="s">
        <v>5</v>
      </c>
      <c r="C53" s="10"/>
      <c r="D53" s="18">
        <v>-10</v>
      </c>
      <c r="E53" s="18">
        <v>-10</v>
      </c>
      <c r="F53" s="18">
        <v>-10</v>
      </c>
      <c r="G53" s="18">
        <v>-10</v>
      </c>
      <c r="H53" s="18">
        <v>-10</v>
      </c>
      <c r="I53" s="18">
        <v>-10</v>
      </c>
      <c r="J53" s="18">
        <v>-10</v>
      </c>
      <c r="K53" s="18">
        <v>-10</v>
      </c>
      <c r="L53" s="18">
        <v>-10</v>
      </c>
      <c r="M53" s="18">
        <v>-10</v>
      </c>
      <c r="N53" s="141">
        <v>-10</v>
      </c>
    </row>
    <row r="54" spans="2:16" x14ac:dyDescent="0.25">
      <c r="B54" s="180" t="s">
        <v>4</v>
      </c>
      <c r="C54" s="10"/>
      <c r="D54" s="19">
        <f>-'FDC - Empresa'!E57</f>
        <v>0</v>
      </c>
      <c r="E54" s="19">
        <f>-'FDC - Empresa'!F57</f>
        <v>0</v>
      </c>
      <c r="F54" s="19">
        <f>-'FDC - Empresa'!G57</f>
        <v>0</v>
      </c>
      <c r="G54" s="19">
        <f>-'FDC - Empresa'!H57</f>
        <v>0</v>
      </c>
      <c r="H54" s="19">
        <f>-'FDC - Empresa'!I57</f>
        <v>0</v>
      </c>
      <c r="I54" s="19">
        <f>-'FDC - Empresa'!O57</f>
        <v>0</v>
      </c>
      <c r="J54" s="19">
        <f>-'FDC - Empresa'!P57</f>
        <v>0</v>
      </c>
      <c r="K54" s="19">
        <f>-'FDC - Empresa'!Q57</f>
        <v>0</v>
      </c>
      <c r="L54" s="19">
        <f>-'FDC - Empresa'!R57</f>
        <v>0</v>
      </c>
      <c r="M54" s="19">
        <f>-'FDC - Empresa'!S57</f>
        <v>0</v>
      </c>
      <c r="N54" s="198">
        <f>-'FDC - Empresa'!T57</f>
        <v>0</v>
      </c>
    </row>
    <row r="55" spans="2:16" x14ac:dyDescent="0.25">
      <c r="B55" s="180" t="s">
        <v>3</v>
      </c>
      <c r="C55" s="10"/>
      <c r="D55" s="17">
        <f t="shared" ref="D55:I55" si="18">SUM(D51:D54)</f>
        <v>190</v>
      </c>
      <c r="E55" s="17">
        <f t="shared" si="18"/>
        <v>180</v>
      </c>
      <c r="F55" s="17">
        <f t="shared" si="18"/>
        <v>170</v>
      </c>
      <c r="G55" s="17">
        <f t="shared" si="18"/>
        <v>160</v>
      </c>
      <c r="H55" s="17">
        <f t="shared" si="18"/>
        <v>150</v>
      </c>
      <c r="I55" s="17">
        <f t="shared" si="18"/>
        <v>140</v>
      </c>
      <c r="J55" s="17">
        <f t="shared" ref="J55:N55" si="19">SUM(J51:J54)</f>
        <v>130</v>
      </c>
      <c r="K55" s="17">
        <f t="shared" si="19"/>
        <v>120</v>
      </c>
      <c r="L55" s="17">
        <f t="shared" si="19"/>
        <v>110</v>
      </c>
      <c r="M55" s="17">
        <f t="shared" si="19"/>
        <v>100</v>
      </c>
      <c r="N55" s="197">
        <f t="shared" si="19"/>
        <v>90</v>
      </c>
    </row>
    <row r="56" spans="2:16" x14ac:dyDescent="0.25">
      <c r="B56" s="181" t="s">
        <v>2</v>
      </c>
      <c r="C56" s="7"/>
      <c r="D56" s="20">
        <f t="shared" ref="D56:I56" si="20">-(D55+D51)/2</f>
        <v>-195</v>
      </c>
      <c r="E56" s="20">
        <f t="shared" si="20"/>
        <v>-185</v>
      </c>
      <c r="F56" s="20">
        <f t="shared" si="20"/>
        <v>-175</v>
      </c>
      <c r="G56" s="20">
        <f t="shared" si="20"/>
        <v>-165</v>
      </c>
      <c r="H56" s="20">
        <f t="shared" si="20"/>
        <v>-155</v>
      </c>
      <c r="I56" s="20">
        <f t="shared" si="20"/>
        <v>-145</v>
      </c>
      <c r="J56" s="20">
        <f t="shared" ref="J56:N56" si="21">-(J55+J51)/2</f>
        <v>-135</v>
      </c>
      <c r="K56" s="20">
        <f t="shared" si="21"/>
        <v>-125</v>
      </c>
      <c r="L56" s="20">
        <f t="shared" si="21"/>
        <v>-115</v>
      </c>
      <c r="M56" s="20">
        <f t="shared" si="21"/>
        <v>-105</v>
      </c>
      <c r="N56" s="193">
        <f t="shared" si="21"/>
        <v>-95</v>
      </c>
    </row>
    <row r="57" spans="2:16" x14ac:dyDescent="0.25">
      <c r="B57" s="180"/>
      <c r="C57" s="10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199"/>
    </row>
    <row r="58" spans="2:16" x14ac:dyDescent="0.25">
      <c r="B58" s="180" t="s">
        <v>96</v>
      </c>
      <c r="C58" s="1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199"/>
    </row>
    <row r="59" spans="2:16" x14ac:dyDescent="0.25">
      <c r="B59" s="180" t="s">
        <v>1</v>
      </c>
      <c r="C59" s="10"/>
      <c r="D59" s="17"/>
      <c r="E59" s="17">
        <f>'FDC - Empresa'!E33</f>
        <v>-659736</v>
      </c>
      <c r="F59" s="17">
        <f>'FDC - Empresa'!F33</f>
        <v>-672930.72000000009</v>
      </c>
      <c r="G59" s="17">
        <f>'FDC - Empresa'!G33</f>
        <v>-686389.33440000005</v>
      </c>
      <c r="H59" s="17">
        <f>'FDC - Empresa'!H33</f>
        <v>-700117.12108800001</v>
      </c>
      <c r="I59" s="17">
        <f>'FDC - Empresa'!I33</f>
        <v>-714119.4635097601</v>
      </c>
      <c r="J59" s="17">
        <f>'FDC - Empresa'!J33</f>
        <v>-728401.85277995537</v>
      </c>
      <c r="K59" s="17">
        <f>'FDC - Empresa'!K33</f>
        <v>-742969.88983555441</v>
      </c>
      <c r="L59" s="17">
        <f>'FDC - Empresa'!L33</f>
        <v>-757829.28763226559</v>
      </c>
      <c r="M59" s="17">
        <f>'FDC - Empresa'!M33</f>
        <v>-772985.87338491087</v>
      </c>
      <c r="N59" s="197">
        <f>'FDC - Empresa'!N33</f>
        <v>-788445.59085260914</v>
      </c>
    </row>
    <row r="60" spans="2:16" x14ac:dyDescent="0.25">
      <c r="B60" s="180" t="s">
        <v>0</v>
      </c>
      <c r="C60" s="10"/>
      <c r="D60" s="8"/>
      <c r="E60" s="8">
        <f>E59/12</f>
        <v>-54978</v>
      </c>
      <c r="F60" s="8"/>
      <c r="G60" s="8"/>
      <c r="H60" s="8"/>
      <c r="I60" s="8"/>
      <c r="J60" s="8"/>
      <c r="K60" s="8"/>
      <c r="L60" s="8"/>
      <c r="M60" s="8"/>
      <c r="N60" s="187"/>
    </row>
    <row r="61" spans="2:16" x14ac:dyDescent="0.25">
      <c r="B61" s="180"/>
      <c r="C61" s="10"/>
      <c r="D61" s="8"/>
      <c r="E61" s="10"/>
      <c r="F61" s="10"/>
      <c r="G61" s="10"/>
      <c r="H61" s="10"/>
      <c r="I61" s="10"/>
      <c r="J61" s="10"/>
      <c r="K61" s="10"/>
      <c r="L61" s="10"/>
      <c r="M61" s="10"/>
      <c r="N61" s="139"/>
    </row>
    <row r="62" spans="2:16" x14ac:dyDescent="0.25">
      <c r="B62" s="200" t="s">
        <v>9</v>
      </c>
      <c r="C62" s="201"/>
      <c r="D62" s="202">
        <v>12</v>
      </c>
      <c r="E62" s="202">
        <v>12</v>
      </c>
      <c r="F62" s="202">
        <v>12</v>
      </c>
      <c r="G62" s="202">
        <v>12</v>
      </c>
      <c r="H62" s="202">
        <v>12</v>
      </c>
      <c r="I62" s="202">
        <v>12</v>
      </c>
      <c r="J62" s="202">
        <v>12</v>
      </c>
      <c r="K62" s="202">
        <v>12</v>
      </c>
      <c r="L62" s="202">
        <v>12</v>
      </c>
      <c r="M62" s="202">
        <v>12</v>
      </c>
      <c r="N62" s="203">
        <v>12</v>
      </c>
    </row>
  </sheetData>
  <sheetProtection algorithmName="SHA-512" hashValue="uTTkPo8ld+Gh11K8uqJCbbDK3d7twUY/oVbJrV6ILzBwBQ/3/f9dag9+F92YUceppRA6/FLyJxb+GTHggMGDrw==" saltValue="8cXXAMM0FSi+NJte8aQ2JQ==" spinCount="100000" sheet="1" objects="1" scenarios="1"/>
  <conditionalFormatting sqref="B47:N4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6:G18"/>
  <sheetViews>
    <sheetView showGridLines="0" zoomScale="90" zoomScaleNormal="90" zoomScalePageLayoutView="90" workbookViewId="0"/>
  </sheetViews>
  <sheetFormatPr defaultColWidth="8.85546875" defaultRowHeight="15.75" x14ac:dyDescent="0.25"/>
  <cols>
    <col min="1" max="1" width="4.28515625" style="1" customWidth="1"/>
    <col min="2" max="2" width="45.42578125" style="1" bestFit="1" customWidth="1"/>
    <col min="3" max="3" width="25.140625" style="1" customWidth="1"/>
    <col min="4" max="4" width="6.85546875" style="1" customWidth="1"/>
    <col min="5" max="5" width="44.140625" style="1" customWidth="1"/>
    <col min="6" max="6" width="24.7109375" style="1" customWidth="1"/>
    <col min="7" max="16384" width="8.85546875" style="1"/>
  </cols>
  <sheetData>
    <row r="6" spans="2:7" x14ac:dyDescent="0.25">
      <c r="B6" s="101" t="s">
        <v>134</v>
      </c>
    </row>
    <row r="8" spans="2:7" x14ac:dyDescent="0.25">
      <c r="B8" s="109" t="s">
        <v>88</v>
      </c>
      <c r="C8" s="207"/>
      <c r="E8" s="109" t="s">
        <v>135</v>
      </c>
      <c r="F8" s="207"/>
    </row>
    <row r="9" spans="2:7" ht="10.5" customHeight="1" x14ac:dyDescent="0.25">
      <c r="B9" s="113"/>
      <c r="C9" s="184"/>
      <c r="E9" s="113"/>
      <c r="F9" s="184"/>
    </row>
    <row r="10" spans="2:7" x14ac:dyDescent="0.25">
      <c r="B10" s="208" t="s">
        <v>101</v>
      </c>
      <c r="C10" s="209"/>
      <c r="D10" s="204"/>
      <c r="E10" s="208" t="str">
        <f>'FDC - Carteira'!B6</f>
        <v>EMPRESA ABC</v>
      </c>
      <c r="F10" s="209"/>
      <c r="G10" s="204"/>
    </row>
    <row r="11" spans="2:7" x14ac:dyDescent="0.25">
      <c r="B11" s="210" t="s">
        <v>104</v>
      </c>
      <c r="C11" s="211">
        <f>'FDC - Carteira'!D21</f>
        <v>1008420</v>
      </c>
      <c r="D11" s="204"/>
      <c r="E11" s="210" t="s">
        <v>104</v>
      </c>
      <c r="F11" s="211">
        <f>'FDC - Empresa'!D30</f>
        <v>1008420</v>
      </c>
    </row>
    <row r="12" spans="2:7" x14ac:dyDescent="0.25">
      <c r="B12" s="210" t="s">
        <v>97</v>
      </c>
      <c r="C12" s="214">
        <f>'FDC - Carteira'!D26</f>
        <v>0.18367346938775511</v>
      </c>
      <c r="D12" s="204"/>
      <c r="E12" s="210" t="s">
        <v>97</v>
      </c>
      <c r="F12" s="214">
        <f>'FDC - Empresa'!D41</f>
        <v>0.18367346938775511</v>
      </c>
    </row>
    <row r="13" spans="2:7" x14ac:dyDescent="0.25">
      <c r="B13" s="210" t="s">
        <v>11</v>
      </c>
      <c r="C13" s="211">
        <f>C11*C12</f>
        <v>185220</v>
      </c>
      <c r="D13" s="204"/>
      <c r="E13" s="210" t="s">
        <v>11</v>
      </c>
      <c r="F13" s="211">
        <f>F11*F12</f>
        <v>185220</v>
      </c>
    </row>
    <row r="14" spans="2:7" x14ac:dyDescent="0.25">
      <c r="B14" s="210" t="s">
        <v>103</v>
      </c>
      <c r="C14" s="215">
        <f>'Dados - Premissas'!C62</f>
        <v>1.985714285714286</v>
      </c>
      <c r="D14" s="204"/>
      <c r="E14" s="210" t="s">
        <v>103</v>
      </c>
      <c r="F14" s="223">
        <f>'Dados - Premissas'!C72</f>
        <v>3.9571428571428569</v>
      </c>
    </row>
    <row r="15" spans="2:7" x14ac:dyDescent="0.25">
      <c r="B15" s="212" t="s">
        <v>102</v>
      </c>
      <c r="C15" s="219">
        <f>C13*C14</f>
        <v>367794.00000000006</v>
      </c>
      <c r="D15" s="204"/>
      <c r="E15" s="210" t="s">
        <v>102</v>
      </c>
      <c r="F15" s="211">
        <f>F13*F14</f>
        <v>732942</v>
      </c>
    </row>
    <row r="16" spans="2:7" ht="16.5" thickBot="1" x14ac:dyDescent="0.3">
      <c r="B16" s="213" t="s">
        <v>105</v>
      </c>
      <c r="C16" s="141">
        <f>'Dados - Premissas'!C49</f>
        <v>0</v>
      </c>
      <c r="D16" s="204"/>
      <c r="E16" s="213" t="s">
        <v>105</v>
      </c>
      <c r="F16" s="275">
        <f>'Dados - Premissas'!C41</f>
        <v>0</v>
      </c>
    </row>
    <row r="17" spans="2:6" ht="16.5" thickTop="1" x14ac:dyDescent="0.25">
      <c r="B17" s="220" t="s">
        <v>106</v>
      </c>
      <c r="C17" s="216">
        <f>C15+C16</f>
        <v>367794.00000000006</v>
      </c>
      <c r="D17" s="204"/>
      <c r="E17" s="221" t="s">
        <v>107</v>
      </c>
      <c r="F17" s="222">
        <f>F15+F16</f>
        <v>732942</v>
      </c>
    </row>
    <row r="18" spans="2:6" x14ac:dyDescent="0.25">
      <c r="B18" s="205"/>
      <c r="C18" s="206"/>
      <c r="D18" s="204"/>
      <c r="E18" s="205"/>
      <c r="F18" s="206"/>
    </row>
  </sheetData>
  <sheetProtection algorithmName="SHA-512" hashValue="JVtmPWwAlnv3gFBmqihTkXohNyI7epGL0Irih5Uw2WlVweaD8iAI4Y71cOQqRECJHXyKRFIc/kPXJY7DdeBXPA==" saltValue="Ym+m5yxgYWzjzydCOWp0Gw==" spinCount="100000" sheet="1" objects="1" scenarios="1"/>
  <pageMargins left="0.511811024" right="0.511811024" top="0.78740157499999996" bottom="0.78740157499999996" header="0.31496062000000002" footer="0.3149606200000000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Instruções de uso</vt:lpstr>
      <vt:lpstr>Dados - Premissas</vt:lpstr>
      <vt:lpstr>FDC - Empresa</vt:lpstr>
      <vt:lpstr>FDC - Carteira</vt:lpstr>
      <vt:lpstr>Multiplo Empresa - Carteira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Campos</dc:creator>
  <cp:lastModifiedBy>Marcio Campos</cp:lastModifiedBy>
  <dcterms:created xsi:type="dcterms:W3CDTF">2017-04-04T14:41:54Z</dcterms:created>
  <dcterms:modified xsi:type="dcterms:W3CDTF">2017-04-11T20:25:58Z</dcterms:modified>
</cp:coreProperties>
</file>